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iles\PEF\PEF Spend &amp; Forecast Tool\"/>
    </mc:Choice>
  </mc:AlternateContent>
  <bookViews>
    <workbookView xWindow="20376" yWindow="-120" windowWidth="21840" windowHeight="13140" tabRatio="860"/>
  </bookViews>
  <sheets>
    <sheet name="Setup &amp; Overview" sheetId="14" r:id="rId1"/>
    <sheet name="Staffing Projection" sheetId="10" r:id="rId2"/>
    <sheet name="Staffing Manual Entries" sheetId="17" r:id="rId3"/>
    <sheet name="Purchases &amp; Projected Spend" sheetId="1" r:id="rId4"/>
    <sheet name="EAC PEF SPEND" sheetId="15" r:id="rId5"/>
    <sheet name="Lookups" sheetId="3" state="hidden" r:id="rId6"/>
  </sheets>
  <definedNames>
    <definedName name="_xlnm._FilterDatabase" localSheetId="3" hidden="1">'Purchases &amp; Projected Spend'!$A$7:$I$7</definedName>
    <definedName name="Basic">Lookups!$A$12:$A$31</definedName>
    <definedName name="NonTeaching">Lookups!$A$2:$A$11</definedName>
    <definedName name="_xlnm.Print_Area" localSheetId="5">Lookups!$A$1:$D$47</definedName>
    <definedName name="StaffType">Lookups!$J$28:$J$29</definedName>
    <definedName name="Teaching">Lookups!$A$12:$A$46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4" l="1"/>
  <c r="G19" i="14"/>
  <c r="H19" i="14"/>
  <c r="I19" i="14" l="1"/>
  <c r="G11" i="14"/>
  <c r="G12" i="14"/>
  <c r="G13" i="14"/>
  <c r="G14" i="14"/>
  <c r="G15" i="14"/>
  <c r="G16" i="14"/>
  <c r="G17" i="14"/>
  <c r="G18" i="14"/>
  <c r="G20" i="14"/>
  <c r="G21" i="14"/>
  <c r="G22" i="14"/>
  <c r="G23" i="14"/>
  <c r="G24" i="14"/>
  <c r="G25" i="14"/>
  <c r="G26" i="14"/>
  <c r="G27" i="14"/>
  <c r="G28" i="14"/>
  <c r="G29" i="14"/>
  <c r="G10" i="14"/>
  <c r="F11" i="14"/>
  <c r="F12" i="14"/>
  <c r="F13" i="14"/>
  <c r="F14" i="14"/>
  <c r="F15" i="14"/>
  <c r="F16" i="14"/>
  <c r="F17" i="14"/>
  <c r="F18" i="14"/>
  <c r="F20" i="14"/>
  <c r="F21" i="14"/>
  <c r="F22" i="14"/>
  <c r="F23" i="14"/>
  <c r="F24" i="14"/>
  <c r="F25" i="14"/>
  <c r="F26" i="14"/>
  <c r="F27" i="14"/>
  <c r="F28" i="14"/>
  <c r="F29" i="14"/>
  <c r="F10" i="14"/>
  <c r="H41" i="1" l="1"/>
  <c r="D3" i="10"/>
  <c r="L24" i="10"/>
  <c r="L25" i="10"/>
  <c r="L26" i="10"/>
  <c r="L27" i="10"/>
  <c r="L28" i="10"/>
  <c r="K24" i="10"/>
  <c r="K25" i="10"/>
  <c r="K26" i="10"/>
  <c r="K27" i="10"/>
  <c r="K28" i="10"/>
  <c r="M4" i="10"/>
  <c r="M5" i="10"/>
  <c r="M6" i="10"/>
  <c r="M7" i="10"/>
  <c r="M8" i="10"/>
  <c r="M9" i="10"/>
  <c r="M10" i="10"/>
  <c r="M11" i="10"/>
  <c r="M12" i="10"/>
  <c r="M13" i="10"/>
  <c r="F30" i="17"/>
  <c r="N4" i="10"/>
  <c r="N5" i="10"/>
  <c r="N6" i="10"/>
  <c r="N7" i="10"/>
  <c r="N8" i="10"/>
  <c r="N9" i="10"/>
  <c r="N10" i="10"/>
  <c r="N11" i="10"/>
  <c r="N12" i="10"/>
  <c r="N13" i="10"/>
  <c r="E30" i="17"/>
  <c r="G39" i="15" l="1"/>
  <c r="G40" i="15"/>
  <c r="G41" i="15"/>
  <c r="G42" i="15"/>
  <c r="G21" i="15"/>
  <c r="G22" i="15"/>
  <c r="G23" i="15"/>
  <c r="G24" i="15"/>
  <c r="G25" i="15"/>
  <c r="G26" i="15"/>
  <c r="G27" i="15"/>
  <c r="G28" i="15"/>
  <c r="C3" i="1" l="1"/>
  <c r="C4" i="1"/>
  <c r="C5" i="1"/>
  <c r="C6" i="1"/>
  <c r="C7" i="1"/>
  <c r="C8" i="1"/>
  <c r="C9" i="1"/>
  <c r="C10" i="1"/>
  <c r="C11" i="1"/>
  <c r="C12" i="1"/>
  <c r="C13" i="1"/>
  <c r="C14" i="1"/>
  <c r="C15" i="1"/>
  <c r="C16" i="1"/>
  <c r="C17" i="1"/>
  <c r="C18" i="1"/>
  <c r="C19" i="1"/>
  <c r="C20" i="1"/>
  <c r="C21" i="1"/>
  <c r="C22" i="1"/>
  <c r="C23" i="1"/>
  <c r="C24" i="1"/>
  <c r="C25" i="1"/>
  <c r="L4" i="10" l="1"/>
  <c r="L5" i="10"/>
  <c r="L6" i="10"/>
  <c r="L7" i="10"/>
  <c r="L8" i="10"/>
  <c r="L9" i="10"/>
  <c r="L10" i="10"/>
  <c r="L11" i="10"/>
  <c r="L12" i="10"/>
  <c r="L3" i="10"/>
  <c r="A34" i="15" l="1"/>
  <c r="A35" i="15"/>
  <c r="A36" i="15"/>
  <c r="A37" i="15"/>
  <c r="A38" i="15"/>
  <c r="A39" i="15"/>
  <c r="A40" i="15"/>
  <c r="A41" i="15"/>
  <c r="A42" i="15"/>
  <c r="A43" i="15"/>
  <c r="B43" i="15"/>
  <c r="C43" i="15"/>
  <c r="H43" i="15"/>
  <c r="A20" i="15"/>
  <c r="A21" i="15"/>
  <c r="A22" i="15"/>
  <c r="A23" i="15"/>
  <c r="A24" i="15"/>
  <c r="A25" i="15"/>
  <c r="A26" i="15"/>
  <c r="A27" i="15"/>
  <c r="A28" i="15"/>
  <c r="A29" i="15"/>
  <c r="A33" i="15"/>
  <c r="H42" i="15"/>
  <c r="B29" i="15"/>
  <c r="C29" i="15"/>
  <c r="H29" i="15"/>
  <c r="H41" i="15"/>
  <c r="H28" i="15"/>
  <c r="G43" i="15" l="1"/>
  <c r="G29" i="15"/>
  <c r="J7" i="15"/>
  <c r="J4" i="15"/>
  <c r="J1" i="15"/>
  <c r="A8" i="14"/>
  <c r="K7" i="15"/>
  <c r="K4" i="15"/>
  <c r="K3" i="15"/>
  <c r="A14" i="14"/>
  <c r="A11" i="14"/>
  <c r="A6" i="14"/>
  <c r="I27" i="1" l="1"/>
  <c r="I9" i="1"/>
  <c r="I5" i="1"/>
  <c r="B14" i="14"/>
  <c r="H34" i="15" l="1"/>
  <c r="H35" i="15"/>
  <c r="H36" i="15"/>
  <c r="H37" i="15"/>
  <c r="H38" i="15"/>
  <c r="H39" i="15"/>
  <c r="H40" i="15"/>
  <c r="H33" i="15"/>
  <c r="H20" i="15"/>
  <c r="H21" i="15"/>
  <c r="H22" i="15"/>
  <c r="H23" i="15"/>
  <c r="H24" i="15"/>
  <c r="H25" i="15"/>
  <c r="H26" i="15"/>
  <c r="H27" i="15"/>
  <c r="H19" i="15"/>
  <c r="G14" i="15"/>
  <c r="G15" i="15"/>
  <c r="E16" i="15"/>
  <c r="F16" i="15"/>
  <c r="C28" i="15"/>
  <c r="D18" i="10" l="1"/>
  <c r="D19" i="10"/>
  <c r="D20" i="10"/>
  <c r="D21" i="10"/>
  <c r="D22" i="10"/>
  <c r="D23" i="10"/>
  <c r="D24" i="10"/>
  <c r="D25" i="10"/>
  <c r="D26" i="10"/>
  <c r="D27" i="10"/>
  <c r="D4" i="10"/>
  <c r="D5" i="10"/>
  <c r="D6" i="10"/>
  <c r="D7" i="10"/>
  <c r="D8" i="10"/>
  <c r="D9" i="10"/>
  <c r="D10" i="10"/>
  <c r="D11" i="10"/>
  <c r="D12" i="10"/>
  <c r="M2" i="3"/>
  <c r="M3" i="3"/>
  <c r="M4" i="3"/>
  <c r="M5" i="3"/>
  <c r="M6" i="3"/>
  <c r="M7" i="3"/>
  <c r="M8" i="3"/>
  <c r="M9" i="3"/>
  <c r="M10" i="3"/>
  <c r="M11" i="3"/>
  <c r="M12" i="3"/>
  <c r="M13" i="3"/>
  <c r="M14" i="3"/>
  <c r="M15" i="3"/>
  <c r="M16" i="3"/>
  <c r="M17" i="3"/>
  <c r="M18" i="3"/>
  <c r="M19" i="3"/>
  <c r="M20" i="3"/>
  <c r="M21" i="3"/>
  <c r="M22" i="3"/>
  <c r="M23" i="3"/>
  <c r="M24" i="3"/>
  <c r="C3" i="15" l="1"/>
  <c r="G3" i="15" s="1"/>
  <c r="C11" i="15"/>
  <c r="G11" i="15" s="1"/>
  <c r="C10" i="15"/>
  <c r="G10" i="15" s="1"/>
  <c r="C9" i="15"/>
  <c r="G9" i="15" s="1"/>
  <c r="C8" i="15"/>
  <c r="G8" i="15" s="1"/>
  <c r="C12" i="15"/>
  <c r="G12" i="15" s="1"/>
  <c r="C2" i="15"/>
  <c r="G2" i="15" s="1"/>
  <c r="C6" i="15"/>
  <c r="G6" i="15" s="1"/>
  <c r="C7" i="15"/>
  <c r="G7" i="15" s="1"/>
  <c r="C13" i="15"/>
  <c r="G13" i="15" s="1"/>
  <c r="C5" i="15"/>
  <c r="G5" i="15" s="1"/>
  <c r="C4" i="15"/>
  <c r="G4" i="15" s="1"/>
  <c r="C41" i="15"/>
  <c r="C42" i="15"/>
  <c r="B41" i="15"/>
  <c r="B42" i="15"/>
  <c r="B28" i="15"/>
  <c r="D38" i="1" l="1"/>
  <c r="D39" i="1"/>
  <c r="B29" i="1"/>
  <c r="B30" i="1"/>
  <c r="B31" i="1"/>
  <c r="B32" i="1"/>
  <c r="B33" i="1"/>
  <c r="B34" i="1"/>
  <c r="B35" i="1"/>
  <c r="B36" i="1"/>
  <c r="B37" i="1"/>
  <c r="B38" i="1"/>
  <c r="B39" i="1"/>
  <c r="H11" i="14" l="1"/>
  <c r="H12" i="14"/>
  <c r="H13" i="14"/>
  <c r="H14" i="14"/>
  <c r="H15" i="14"/>
  <c r="H16" i="14"/>
  <c r="H17" i="14"/>
  <c r="H18" i="14"/>
  <c r="H20" i="14"/>
  <c r="H21" i="14"/>
  <c r="H22" i="14"/>
  <c r="H23" i="14"/>
  <c r="H24" i="14"/>
  <c r="H25" i="14"/>
  <c r="H26" i="14"/>
  <c r="H27" i="14"/>
  <c r="H28" i="14"/>
  <c r="H29" i="14"/>
  <c r="H10" i="14"/>
  <c r="H33" i="1" l="1"/>
  <c r="H19" i="1"/>
  <c r="H31" i="1"/>
  <c r="H15" i="1"/>
  <c r="D16" i="15"/>
  <c r="I16" i="14" l="1"/>
  <c r="I25" i="14"/>
  <c r="I23" i="14"/>
  <c r="I29" i="14"/>
  <c r="I21" i="14"/>
  <c r="I28" i="14"/>
  <c r="I20" i="14"/>
  <c r="I27" i="14"/>
  <c r="I18" i="14"/>
  <c r="I26" i="14"/>
  <c r="I17" i="14"/>
  <c r="I24" i="14"/>
  <c r="I15" i="14"/>
  <c r="C16" i="15"/>
  <c r="B40" i="1" l="1"/>
  <c r="D28" i="1"/>
  <c r="D29" i="1"/>
  <c r="D30" i="1"/>
  <c r="D31" i="1"/>
  <c r="D32" i="1"/>
  <c r="D33" i="1"/>
  <c r="D34" i="1"/>
  <c r="D35" i="1"/>
  <c r="D36" i="1"/>
  <c r="D37" i="1"/>
  <c r="B28" i="1"/>
  <c r="H37" i="1"/>
  <c r="J18" i="10"/>
  <c r="J19" i="10"/>
  <c r="J20" i="10"/>
  <c r="J21" i="10"/>
  <c r="J22" i="10"/>
  <c r="J23" i="10"/>
  <c r="J24" i="10"/>
  <c r="J25" i="10"/>
  <c r="J26" i="10"/>
  <c r="J27" i="10"/>
  <c r="I20" i="10"/>
  <c r="L20" i="10" s="1"/>
  <c r="I21" i="10"/>
  <c r="L21" i="10" s="1"/>
  <c r="I22" i="10"/>
  <c r="L22" i="10" s="1"/>
  <c r="I23" i="10"/>
  <c r="L23" i="10" s="1"/>
  <c r="I24" i="10"/>
  <c r="I25" i="10"/>
  <c r="I26" i="10"/>
  <c r="I27" i="10"/>
  <c r="H18" i="10"/>
  <c r="H20" i="10"/>
  <c r="H21" i="10"/>
  <c r="K21" i="10" s="1"/>
  <c r="H22" i="10"/>
  <c r="K22" i="10" s="1"/>
  <c r="H23" i="10"/>
  <c r="H24" i="10"/>
  <c r="H25" i="10"/>
  <c r="H26" i="10"/>
  <c r="H27" i="10"/>
  <c r="G18" i="10"/>
  <c r="G19" i="10"/>
  <c r="G20" i="10"/>
  <c r="G21" i="10"/>
  <c r="G22" i="10"/>
  <c r="G23" i="10"/>
  <c r="G24" i="10"/>
  <c r="G25" i="10"/>
  <c r="G26" i="10"/>
  <c r="G27" i="10"/>
  <c r="I4" i="10"/>
  <c r="I5" i="10"/>
  <c r="I6" i="10"/>
  <c r="I7" i="10"/>
  <c r="I8" i="10"/>
  <c r="I9" i="10"/>
  <c r="I10" i="10"/>
  <c r="I11" i="10"/>
  <c r="I12" i="10"/>
  <c r="H4" i="10"/>
  <c r="H5" i="10"/>
  <c r="H6" i="10"/>
  <c r="H7" i="10"/>
  <c r="H8" i="10"/>
  <c r="H9" i="10"/>
  <c r="H10" i="10"/>
  <c r="H11" i="10"/>
  <c r="H12" i="10"/>
  <c r="G3" i="10"/>
  <c r="G4" i="10"/>
  <c r="G5" i="10"/>
  <c r="G6" i="10"/>
  <c r="G7" i="10"/>
  <c r="G8" i="10"/>
  <c r="G9" i="10"/>
  <c r="G10" i="10"/>
  <c r="G11" i="10"/>
  <c r="G12" i="10"/>
  <c r="K23" i="10" l="1"/>
  <c r="B38" i="15" s="1"/>
  <c r="K20" i="10"/>
  <c r="K18" i="10"/>
  <c r="F44" i="15"/>
  <c r="E44" i="15"/>
  <c r="D44" i="15"/>
  <c r="A19" i="15"/>
  <c r="F30" i="15"/>
  <c r="E30" i="15"/>
  <c r="D30" i="15"/>
  <c r="J3" i="15"/>
  <c r="H17" i="1"/>
  <c r="I11" i="1"/>
  <c r="B25" i="14"/>
  <c r="C23" i="15"/>
  <c r="C24" i="15"/>
  <c r="C25" i="15"/>
  <c r="C26" i="15"/>
  <c r="B23" i="15"/>
  <c r="B24" i="15"/>
  <c r="B25" i="15"/>
  <c r="B26" i="15"/>
  <c r="C36" i="15"/>
  <c r="C37" i="15"/>
  <c r="C38" i="15"/>
  <c r="C39" i="15"/>
  <c r="C40" i="15"/>
  <c r="B36" i="15"/>
  <c r="B37" i="15"/>
  <c r="B39" i="15"/>
  <c r="B40" i="15"/>
  <c r="G38" i="15" l="1"/>
  <c r="G37" i="15"/>
  <c r="G36" i="15"/>
  <c r="B28" i="14"/>
  <c r="H3" i="10"/>
  <c r="H19" i="10"/>
  <c r="K19" i="10" s="1"/>
  <c r="I19" i="10"/>
  <c r="L19" i="10" s="1"/>
  <c r="I18" i="10"/>
  <c r="L18" i="10" s="1"/>
  <c r="I3" i="10"/>
  <c r="K5" i="15"/>
  <c r="B27" i="15"/>
  <c r="C27" i="15"/>
  <c r="G16" i="15"/>
  <c r="I14" i="14" l="1"/>
  <c r="J4" i="10"/>
  <c r="J5" i="10"/>
  <c r="J6" i="10"/>
  <c r="J7" i="10"/>
  <c r="J8" i="10"/>
  <c r="J9" i="10"/>
  <c r="J10" i="10"/>
  <c r="J11" i="10"/>
  <c r="J12" i="10"/>
  <c r="J3" i="10"/>
  <c r="N3" i="10" s="1"/>
  <c r="M3" i="10" l="1"/>
  <c r="C20" i="15"/>
  <c r="I13" i="14"/>
  <c r="C21" i="15"/>
  <c r="C41" i="1"/>
  <c r="C42" i="1"/>
  <c r="C43" i="1"/>
  <c r="C44" i="1"/>
  <c r="C45" i="1"/>
  <c r="C46" i="1"/>
  <c r="C47" i="1"/>
  <c r="C48" i="1"/>
  <c r="C49" i="1"/>
  <c r="C50" i="1"/>
  <c r="C51" i="1"/>
  <c r="C52" i="1"/>
  <c r="C53" i="1"/>
  <c r="C54" i="1"/>
  <c r="C55" i="1"/>
  <c r="C56" i="1"/>
  <c r="C57" i="1"/>
  <c r="I11" i="14" l="1"/>
  <c r="I12" i="14"/>
  <c r="I10" i="14"/>
  <c r="I22" i="14"/>
  <c r="B21" i="15"/>
  <c r="B20" i="15"/>
  <c r="G20" i="15" s="1"/>
  <c r="B22" i="15"/>
  <c r="C22" i="15"/>
  <c r="C19" i="15"/>
  <c r="B19" i="15"/>
  <c r="G19" i="15" s="1"/>
  <c r="J19" i="14" l="1"/>
  <c r="G30" i="15"/>
  <c r="J24" i="14"/>
  <c r="J22" i="14"/>
  <c r="J26" i="14"/>
  <c r="J25" i="14"/>
  <c r="J23" i="14"/>
  <c r="J27" i="14"/>
  <c r="J14" i="14"/>
  <c r="J17" i="14"/>
  <c r="J18" i="14"/>
  <c r="J10" i="14"/>
  <c r="J29" i="14"/>
  <c r="J15" i="14"/>
  <c r="J11" i="14"/>
  <c r="J20" i="14"/>
  <c r="J13" i="14"/>
  <c r="J12" i="14"/>
  <c r="J21" i="14"/>
  <c r="J28" i="14"/>
  <c r="J16" i="14"/>
  <c r="M14" i="10"/>
  <c r="B30" i="15"/>
  <c r="C30" i="15"/>
  <c r="N14" i="10"/>
  <c r="B35" i="15" l="1"/>
  <c r="C35" i="15"/>
  <c r="C34" i="15"/>
  <c r="B34" i="15"/>
  <c r="B33" i="15"/>
  <c r="C33" i="15"/>
  <c r="G34" i="15" l="1"/>
  <c r="G35" i="15"/>
  <c r="G33" i="15"/>
  <c r="C44" i="15"/>
  <c r="B44" i="15"/>
  <c r="G44" i="15" l="1"/>
  <c r="K18" i="15" s="1"/>
  <c r="L29" i="10"/>
  <c r="I17" i="1" s="1"/>
  <c r="K29" i="10"/>
  <c r="I15" i="1" s="1"/>
  <c r="I19" i="1" l="1"/>
  <c r="K12" i="15" l="1"/>
  <c r="I23" i="1" l="1"/>
  <c r="I31" i="1" l="1"/>
  <c r="I33" i="1"/>
  <c r="K9" i="15"/>
  <c r="I41" i="1"/>
  <c r="J41" i="1" s="1"/>
  <c r="K13" i="15" l="1"/>
  <c r="I37" i="1" l="1"/>
  <c r="J37" i="1" s="1"/>
  <c r="I39" i="1" l="1"/>
  <c r="K10" i="15"/>
</calcChain>
</file>

<file path=xl/sharedStrings.xml><?xml version="1.0" encoding="utf-8"?>
<sst xmlns="http://schemas.openxmlformats.org/spreadsheetml/2006/main" count="403" uniqueCount="257">
  <si>
    <t xml:space="preserve">Purchase Type </t>
  </si>
  <si>
    <t xml:space="preserve">Total </t>
  </si>
  <si>
    <t xml:space="preserve">Post Designation </t>
  </si>
  <si>
    <t xml:space="preserve">Forecast Spend </t>
  </si>
  <si>
    <t xml:space="preserve">Forecast Total   </t>
  </si>
  <si>
    <t xml:space="preserve">Role </t>
  </si>
  <si>
    <t xml:space="preserve">Days </t>
  </si>
  <si>
    <t>Totals</t>
  </si>
  <si>
    <t>Post Designation</t>
  </si>
  <si>
    <t>Hours per Week</t>
  </si>
  <si>
    <t>Assumed Hours p/w</t>
  </si>
  <si>
    <t>27.5</t>
  </si>
  <si>
    <t>35</t>
  </si>
  <si>
    <t>Staff Member</t>
  </si>
  <si>
    <t>Annual Salary Including On-Costs</t>
  </si>
  <si>
    <t>FTE</t>
  </si>
  <si>
    <t>Total</t>
  </si>
  <si>
    <t>Area of Focus</t>
  </si>
  <si>
    <t>Literacy</t>
  </si>
  <si>
    <t>Numeracy</t>
  </si>
  <si>
    <t>Attainment</t>
  </si>
  <si>
    <t>Attendance</t>
  </si>
  <si>
    <t>Behaviour</t>
  </si>
  <si>
    <t>Life Chances</t>
  </si>
  <si>
    <t>Nurture</t>
  </si>
  <si>
    <t>HWB</t>
  </si>
  <si>
    <t>Transition</t>
  </si>
  <si>
    <t>Pedagogy</t>
  </si>
  <si>
    <t>ASN</t>
  </si>
  <si>
    <t>Staffing</t>
  </si>
  <si>
    <t>Parental Engagement</t>
  </si>
  <si>
    <t>Data</t>
  </si>
  <si>
    <t>Arts</t>
  </si>
  <si>
    <t>Life Skills</t>
  </si>
  <si>
    <t>School Ethos</t>
  </si>
  <si>
    <t>Communication</t>
  </si>
  <si>
    <t>Engagement</t>
  </si>
  <si>
    <t>Annanhill Primary School</t>
  </si>
  <si>
    <t>Auchinleck Primary School</t>
  </si>
  <si>
    <t>Bellsbank Primary School</t>
  </si>
  <si>
    <t>Catrine Primary School</t>
  </si>
  <si>
    <t>Crosshouse Primary School</t>
  </si>
  <si>
    <t>Dalmellington Primary School</t>
  </si>
  <si>
    <t>Dalrymple Primary School</t>
  </si>
  <si>
    <t>Darvel Primary School</t>
  </si>
  <si>
    <t>Drongan Primary School</t>
  </si>
  <si>
    <t>Dunlop Primary School</t>
  </si>
  <si>
    <t>Fenwick Primary School</t>
  </si>
  <si>
    <t>Galston Primary School</t>
  </si>
  <si>
    <t>Gargieston Primary School</t>
  </si>
  <si>
    <t>Hillhead Primary School</t>
  </si>
  <si>
    <t>Hurlford Primary School</t>
  </si>
  <si>
    <t>James Hamilton Primary School</t>
  </si>
  <si>
    <t>Kilmaurs Primary School</t>
  </si>
  <si>
    <t>Lainshaw Primary School</t>
  </si>
  <si>
    <t>Littlemill Primary School</t>
  </si>
  <si>
    <t>Loanhead Primary School</t>
  </si>
  <si>
    <t>Lochnorris Primary School</t>
  </si>
  <si>
    <t>Logan Primary School</t>
  </si>
  <si>
    <t>Mauchline Primary School</t>
  </si>
  <si>
    <t>Mount Carmel Primary School</t>
  </si>
  <si>
    <t>Muirkirk Primary School</t>
  </si>
  <si>
    <t>Nether Robertland Primary School</t>
  </si>
  <si>
    <t>Netherthird Primary School</t>
  </si>
  <si>
    <t>New Cumnock Primary School</t>
  </si>
  <si>
    <t>Newmilns Primary School</t>
  </si>
  <si>
    <t>Ochiltree Primary School</t>
  </si>
  <si>
    <t>Onthank Primary School</t>
  </si>
  <si>
    <t>Patna Primary School</t>
  </si>
  <si>
    <t>Shortlees Primary School</t>
  </si>
  <si>
    <t>Sorn Primary School</t>
  </si>
  <si>
    <t>St Andrew's Primary School</t>
  </si>
  <si>
    <t>St Sophia's Primary School</t>
  </si>
  <si>
    <t>St Xavier's Primary School</t>
  </si>
  <si>
    <t>Whatriggs Primary School</t>
  </si>
  <si>
    <t>Doon Academy</t>
  </si>
  <si>
    <t>Grange Academy</t>
  </si>
  <si>
    <t>Loudoun Academy</t>
  </si>
  <si>
    <t>Robert Burns Academy</t>
  </si>
  <si>
    <t>St Joseph's Academy</t>
  </si>
  <si>
    <t>Stewarton Academy</t>
  </si>
  <si>
    <t>Crosshouse Communication Unit</t>
  </si>
  <si>
    <t>Hillside School</t>
  </si>
  <si>
    <t>Park School</t>
  </si>
  <si>
    <t>Willowbank School</t>
  </si>
  <si>
    <t>School</t>
  </si>
  <si>
    <t>St Patrick's Primary School</t>
  </si>
  <si>
    <t>Kilmarnock Academy</t>
  </si>
  <si>
    <t>Supplier</t>
  </si>
  <si>
    <t>ESTABLISHMENT:</t>
  </si>
  <si>
    <t>End of Financial Year:</t>
  </si>
  <si>
    <t>Start of Financial Year:</t>
  </si>
  <si>
    <t>Start of Next Financial Year:</t>
  </si>
  <si>
    <t># Days to End of Financial Year (Or # Days if End Date is Before End of Financial Year)</t>
  </si>
  <si>
    <t># Days Within Next Financial Year to End of Academic Session</t>
  </si>
  <si>
    <t>2023/24</t>
  </si>
  <si>
    <t>Previous Financial Year:</t>
  </si>
  <si>
    <t>2022/23</t>
  </si>
  <si>
    <t>Current Financial Year:</t>
  </si>
  <si>
    <t>Next Financial Year:</t>
  </si>
  <si>
    <t>2024/25</t>
  </si>
  <si>
    <t>Projected
Variance</t>
  </si>
  <si>
    <t>Payroll Commitment
(Current Financial Year)</t>
  </si>
  <si>
    <t>Payroll Commitment
(Next Financial Year)</t>
  </si>
  <si>
    <t>Planned Spend (Current
Financial Year)</t>
  </si>
  <si>
    <t>Planned Spend (Next
Financial Year)</t>
  </si>
  <si>
    <t>PURCHASES</t>
  </si>
  <si>
    <t>STAFFING (TEACHING)</t>
  </si>
  <si>
    <t>Current Financial Year Spend</t>
  </si>
  <si>
    <t xml:space="preserve">Hours Per Week </t>
  </si>
  <si>
    <t>Annual Salary
Including On Costs</t>
  </si>
  <si>
    <t>Purchases:</t>
  </si>
  <si>
    <t>Projected Planned Spend (Financial Year)</t>
  </si>
  <si>
    <t>Projected Planned Spend (Academic Session)</t>
  </si>
  <si>
    <t># Days in Next Financial Year to End of Academic Session:</t>
  </si>
  <si>
    <t>Key Dates</t>
  </si>
  <si>
    <t>TOTAL BUDGET AVAILABLE:</t>
  </si>
  <si>
    <t>Teaching Staff</t>
  </si>
  <si>
    <t>Non-Teaching Staff</t>
  </si>
  <si>
    <t>Purchases</t>
  </si>
  <si>
    <t>% of Total</t>
  </si>
  <si>
    <t>SPENDING - STAFFING:</t>
  </si>
  <si>
    <t>SPENDING - PURCHASES:</t>
  </si>
  <si>
    <t>SPENDING - MISC:</t>
  </si>
  <si>
    <t>BALANCES:</t>
  </si>
  <si>
    <t>Percentage of Total Budget Available:</t>
  </si>
  <si>
    <t>SPENDING - TOTAL:</t>
  </si>
  <si>
    <t>Any carry forward balance MUST be spent before the end of the current academic session.</t>
  </si>
  <si>
    <t>Actual Spend</t>
  </si>
  <si>
    <t>TOTAL</t>
  </si>
  <si>
    <t>Actual Spend Totals Referring to Period:</t>
  </si>
  <si>
    <t>Estimated Pay Increase:</t>
  </si>
  <si>
    <t>TEACHING STAFFING COSTS</t>
  </si>
  <si>
    <t>NON TEACHING STAFFING COSTS</t>
  </si>
  <si>
    <t>SUMMARY</t>
  </si>
  <si>
    <t>Previous financial year carry forward:</t>
  </si>
  <si>
    <t>Current year allocation:</t>
  </si>
  <si>
    <t>ED - Materials</t>
  </si>
  <si>
    <t>Education In-Service</t>
  </si>
  <si>
    <t>Other Agency Payments</t>
  </si>
  <si>
    <t>Computer Consumables</t>
  </si>
  <si>
    <t>Playground Equipment</t>
  </si>
  <si>
    <t>Computer Equipment</t>
  </si>
  <si>
    <t>Software Licences</t>
  </si>
  <si>
    <t>Other Copy Costs</t>
  </si>
  <si>
    <t>ED Transport Curriculum Activities</t>
  </si>
  <si>
    <t>Sport &amp; Health Development</t>
  </si>
  <si>
    <t>Subscriptions General</t>
  </si>
  <si>
    <t xml:space="preserve">Ad Hoc Purchases </t>
  </si>
  <si>
    <t xml:space="preserve">Art &amp; Craft Supplies </t>
  </si>
  <si>
    <t>Audio Visual</t>
  </si>
  <si>
    <t xml:space="preserve">Classroom Furniture + Equipment </t>
  </si>
  <si>
    <t xml:space="preserve">Educational Games + Activites </t>
  </si>
  <si>
    <t xml:space="preserve">Health and Wellbeing </t>
  </si>
  <si>
    <t xml:space="preserve">IT Hardware </t>
  </si>
  <si>
    <t>Literacy Resources</t>
  </si>
  <si>
    <t xml:space="preserve">Musical Equipment  </t>
  </si>
  <si>
    <t>Numeracy Resources</t>
  </si>
  <si>
    <t xml:space="preserve">Outdoor Equipment </t>
  </si>
  <si>
    <t xml:space="preserve">Payments to Other Bodies </t>
  </si>
  <si>
    <t>Photocopying</t>
  </si>
  <si>
    <t xml:space="preserve">School Trips </t>
  </si>
  <si>
    <t xml:space="preserve">Science Equipment </t>
  </si>
  <si>
    <t xml:space="preserve">Stationery </t>
  </si>
  <si>
    <t xml:space="preserve">Software/Licences </t>
  </si>
  <si>
    <t xml:space="preserve">Sports Equipment </t>
  </si>
  <si>
    <t xml:space="preserve">Supported Study </t>
  </si>
  <si>
    <t xml:space="preserve">Teaching Resources </t>
  </si>
  <si>
    <t>Training (Staff, Pupils and Parents)</t>
  </si>
  <si>
    <t>Description</t>
  </si>
  <si>
    <t>Code &amp; Description</t>
  </si>
  <si>
    <t>Subscriptions</t>
  </si>
  <si>
    <r>
      <t xml:space="preserve">DETAIL CODES
</t>
    </r>
    <r>
      <rPr>
        <b/>
        <sz val="12"/>
        <color theme="1"/>
        <rFont val="Arial"/>
        <family val="2"/>
      </rPr>
      <t>Description</t>
    </r>
  </si>
  <si>
    <t>Detail Code</t>
  </si>
  <si>
    <t>Spent</t>
  </si>
  <si>
    <t>Planned Spend</t>
  </si>
  <si>
    <t>Projected Variance</t>
  </si>
  <si>
    <t>STAFFING (NON-TEACHING)</t>
  </si>
  <si>
    <t>Start Date
(dd/mm/yyyy)</t>
  </si>
  <si>
    <t>Projected End Date
(MUST BE ON OR BEFORE END OF ACADEMIC SESSION)
(dd/mm/yyyy)</t>
  </si>
  <si>
    <t>PECOS
Commitments</t>
  </si>
  <si>
    <t>Resources
Commitment</t>
  </si>
  <si>
    <t>Total Projected Variance:</t>
  </si>
  <si>
    <t>Planning &amp; Support Contribution:</t>
  </si>
  <si>
    <t>FUNDING TOTALS</t>
  </si>
  <si>
    <t>FUNDING TOTALS:</t>
  </si>
  <si>
    <t>Total Remaining to Spend (Academic Session)</t>
  </si>
  <si>
    <t>Total Remaining to Spend (Financial Year)</t>
  </si>
  <si>
    <t>If Enhancement, Please Select
Staff Member's Substantive Post</t>
  </si>
  <si>
    <t>PT 1 (35 hrs)</t>
  </si>
  <si>
    <t>PT 2 (35 hrs)</t>
  </si>
  <si>
    <t>PT 3 (35 hrs)</t>
  </si>
  <si>
    <t>PT 4 (35 hrs)</t>
  </si>
  <si>
    <t>PT 5 (35 hrs)</t>
  </si>
  <si>
    <t>PT 6 (35 hrs)</t>
  </si>
  <si>
    <t>PT 7 (35 hrs)</t>
  </si>
  <si>
    <t>PT 8 (35 hrs)</t>
  </si>
  <si>
    <t>DHT 1 (35 hrs)</t>
  </si>
  <si>
    <t>DHT 2 (35 hrs)</t>
  </si>
  <si>
    <t>DHT 3 (35 hrs)</t>
  </si>
  <si>
    <t>DHT 4 (35 hrs)</t>
  </si>
  <si>
    <t>DHT 5 (35 hrs)</t>
  </si>
  <si>
    <t>DHT 6 (35 hrs)</t>
  </si>
  <si>
    <t>DHT 7 (35 hrs)</t>
  </si>
  <si>
    <t>PT 1 Enhancement (35 hrs)</t>
  </si>
  <si>
    <t>PT 2 Enhancement (35 hrs)</t>
  </si>
  <si>
    <t>PT 3 Enhancement (35 hrs)</t>
  </si>
  <si>
    <t>PT 4 Enhancement (35 hrs)</t>
  </si>
  <si>
    <t>PT 5 Enhancement (35 hrs)</t>
  </si>
  <si>
    <t>PT 6 Enhancement (35 hrs)</t>
  </si>
  <si>
    <t>PT 7 Enhancement (35 hrs)</t>
  </si>
  <si>
    <t>PT 8 Enhancement (35 hrs)</t>
  </si>
  <si>
    <t>DHT 1 Enhancement (35 hrs)</t>
  </si>
  <si>
    <t>DHT 2 Enhancement (35 hrs)</t>
  </si>
  <si>
    <t>DHT 3 Enhancement (35 hrs)</t>
  </si>
  <si>
    <t>DHT 4 Enhancement (35 hrs)</t>
  </si>
  <si>
    <t>DHT 5 Enhancement (35 hrs)</t>
  </si>
  <si>
    <t>DHT 6 Enhancement (35 hrs)</t>
  </si>
  <si>
    <t>DHT 7 Enhancement (35 hrs)</t>
  </si>
  <si>
    <t>Teacher 2 (35 hrs)</t>
  </si>
  <si>
    <t>Teacher 3 (35 hrs)</t>
  </si>
  <si>
    <t>Teacher 4 (35 hrs)</t>
  </si>
  <si>
    <t>Teacher 5 (35 hrs)</t>
  </si>
  <si>
    <t>Teacher 6 (35 hrs)</t>
  </si>
  <si>
    <t>Class Supplies Curriculum</t>
  </si>
  <si>
    <t xml:space="preserve">Enhancement Post Salary </t>
  </si>
  <si>
    <t>Robert Burns SLC</t>
  </si>
  <si>
    <t>Finance Reporting Period</t>
  </si>
  <si>
    <t>Pay Award - Next Financial Year</t>
  </si>
  <si>
    <t xml:space="preserve">Detail Code </t>
  </si>
  <si>
    <t>Staff Member
(INITIALS ONLY)</t>
  </si>
  <si>
    <t>Product / Info</t>
  </si>
  <si>
    <t>Teaching / Non-Teaching</t>
  </si>
  <si>
    <t>Reason for Manual Entry</t>
  </si>
  <si>
    <t>Teaching</t>
  </si>
  <si>
    <t>Non-Teaching</t>
  </si>
  <si>
    <t>Academic Year Spend</t>
  </si>
  <si>
    <t>Academic Year Spend (From Previous Year Carry Forward)</t>
  </si>
  <si>
    <r>
      <t xml:space="preserve">Please note these figures are based on average salaries and should only be used as an indication of spend. Actual figures will be provided by Finance when staff member is in place.
</t>
    </r>
    <r>
      <rPr>
        <b/>
        <sz val="10"/>
        <color theme="1"/>
        <rFont val="Arial"/>
        <family val="2"/>
      </rPr>
      <t>Manual Entries
(e.g. maternity leave):</t>
    </r>
    <r>
      <rPr>
        <sz val="10"/>
        <color theme="1"/>
        <rFont val="Arial"/>
        <family val="2"/>
      </rPr>
      <t xml:space="preserve">
Please obtain costings from AFO and add manually to the Staffing Manual Entries tab.</t>
    </r>
  </si>
  <si>
    <t>Clerical Assistant (TT) (35 hrs)</t>
  </si>
  <si>
    <t>EL&amp;CC Practitioner (TT) (35 hrs)</t>
  </si>
  <si>
    <t>Home Link Worker (TT) (35 hrs)</t>
  </si>
  <si>
    <t>Home Link Worker (52 Wks) (35 hrs)</t>
  </si>
  <si>
    <t>Manual Entries</t>
  </si>
  <si>
    <t>Staff Member (INITIALS ONLY)</t>
  </si>
  <si>
    <t>Last Day of Academic Session:</t>
  </si>
  <si>
    <t>Area of Focus Academic Session Spending</t>
  </si>
  <si>
    <t>Enhancement Costs
(Substantive Post Must Be Selected in Previous Column)</t>
  </si>
  <si>
    <t>Please Confirm All Figures With Your AFO</t>
  </si>
  <si>
    <t>Inclusion</t>
  </si>
  <si>
    <t>Demo School</t>
  </si>
  <si>
    <t>Classroom Assistant (TT) (27.5 hrs) - GB3</t>
  </si>
  <si>
    <t>Classroom Assistant (TT) (27.5 hrs) - GB4</t>
  </si>
  <si>
    <t>Classroom Assistant (TT) (27.5 hrs) - GB5</t>
  </si>
  <si>
    <t>Classroom Assistant (TT) (27.5 hrs) - GC6</t>
  </si>
  <si>
    <t>Classroom Assistant (TT) (27.5 hrs) - GC7</t>
  </si>
  <si>
    <t>Classroom Assistant (TT) (27.5 hrs) - GC8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</si>
</sst>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164" formatCode="&quot;£&quot;#,##0.00"/>
    <numFmt numFmtId="165" formatCode="&quot;£&quot;#,##0"/>
    <numFmt numFmtId="166" formatCode="0.0"/>
    <numFmt numFmtId="167" formatCode="0.0%"/>
  </numFmts>
  <fonts count="16"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theme="1"/>
      <name val="Calibri"/>
      <family val="2"/>
      <scheme val="minor"/>
    </font>
    <font>
      <b/>
      <sz val="10"/>
      <color theme="1"/>
      <name val="Arial"/>
      <family val="2"/>
    </font>
    <font>
      <sz val="10"/>
      <color theme="1"/>
      <name val="Arial"/>
      <family val="2"/>
    </font>
    <font>
      <b/>
      <u/>
      <sz val="11"/>
      <color theme="1"/>
      <name val="Arial"/>
      <family val="2"/>
    </font>
    <font>
      <sz val="16"/>
      <color theme="1"/>
      <name val="Calibri"/>
      <family val="2"/>
      <scheme val="minor"/>
    </font>
    <font>
      <sz val="12"/>
      <color theme="1"/>
      <name val="Arial"/>
      <family val="2"/>
    </font>
    <font>
      <b/>
      <sz val="12"/>
      <color theme="1"/>
      <name val="Arial"/>
      <family val="2"/>
    </font>
    <font>
      <sz val="12"/>
      <color theme="1"/>
      <name val="Arial"/>
    </font>
    <font>
      <b/>
      <u/>
      <sz val="12"/>
      <color theme="1"/>
      <name val="Arial"/>
      <family val="2"/>
    </font>
    <font>
      <sz val="16"/>
      <color theme="1"/>
      <name val="Arial"/>
      <family val="2"/>
    </font>
    <font>
      <sz val="12"/>
      <color theme="1"/>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theme="5"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ck">
        <color indexed="64"/>
      </bottom>
      <diagonal/>
    </border>
    <border>
      <left/>
      <right/>
      <top/>
      <bottom style="double">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28">
    <xf numFmtId="0" fontId="0" fillId="0" borderId="0" xfId="0"/>
    <xf numFmtId="0" fontId="0" fillId="0" borderId="0" xfId="0" applyProtection="1">
      <protection locked="0"/>
    </xf>
    <xf numFmtId="0" fontId="0" fillId="0" borderId="1" xfId="0" applyBorder="1" applyProtection="1">
      <protection locked="0"/>
    </xf>
    <xf numFmtId="164" fontId="0" fillId="0" borderId="0" xfId="0" applyNumberFormat="1" applyProtection="1">
      <protection locked="0"/>
    </xf>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center"/>
      <protection locked="0"/>
    </xf>
    <xf numFmtId="0" fontId="3" fillId="0" borderId="1" xfId="0" applyFont="1" applyBorder="1" applyProtection="1">
      <protection locked="0"/>
    </xf>
    <xf numFmtId="0" fontId="3" fillId="0" borderId="1" xfId="0" applyFont="1" applyBorder="1" applyProtection="1"/>
    <xf numFmtId="0" fontId="3" fillId="0" borderId="0" xfId="0" applyFont="1" applyAlignment="1" applyProtection="1">
      <alignment wrapText="1"/>
      <protection locked="0"/>
    </xf>
    <xf numFmtId="0" fontId="0" fillId="0" borderId="0" xfId="0" applyProtection="1"/>
    <xf numFmtId="164" fontId="0" fillId="0" borderId="0" xfId="0" applyNumberFormat="1" applyProtection="1"/>
    <xf numFmtId="0" fontId="1" fillId="0" borderId="1" xfId="0" applyFont="1" applyBorder="1" applyProtection="1"/>
    <xf numFmtId="0" fontId="0" fillId="0" borderId="1" xfId="0" applyBorder="1" applyProtection="1"/>
    <xf numFmtId="49" fontId="0" fillId="0" borderId="0" xfId="0" applyNumberFormat="1" applyAlignment="1" applyProtection="1">
      <alignment horizontal="right"/>
    </xf>
    <xf numFmtId="0" fontId="3" fillId="0" borderId="1" xfId="0" applyFont="1" applyBorder="1" applyAlignment="1" applyProtection="1">
      <alignment wrapText="1"/>
    </xf>
    <xf numFmtId="0" fontId="0" fillId="0" borderId="1" xfId="0" applyFill="1" applyBorder="1" applyProtection="1"/>
    <xf numFmtId="0" fontId="8" fillId="0" borderId="0" xfId="0" applyFont="1"/>
    <xf numFmtId="0" fontId="8" fillId="0" borderId="0" xfId="0" applyFont="1" applyAlignment="1">
      <alignment textRotation="90"/>
    </xf>
    <xf numFmtId="0" fontId="0" fillId="0" borderId="0" xfId="0" applyAlignment="1" applyProtection="1">
      <alignment horizontal="center"/>
      <protection locked="0"/>
    </xf>
    <xf numFmtId="0" fontId="1" fillId="0" borderId="5" xfId="0" applyFont="1" applyBorder="1" applyAlignment="1" applyProtection="1">
      <alignment horizontal="left"/>
      <protection locked="0"/>
    </xf>
    <xf numFmtId="14" fontId="0" fillId="0" borderId="1" xfId="0" applyNumberFormat="1" applyBorder="1" applyAlignment="1" applyProtection="1">
      <alignment horizontal="center"/>
      <protection locked="0"/>
    </xf>
    <xf numFmtId="166" fontId="0" fillId="0" borderId="1" xfId="0" applyNumberFormat="1" applyBorder="1" applyAlignment="1" applyProtection="1">
      <alignment horizontal="center"/>
    </xf>
    <xf numFmtId="1" fontId="0" fillId="0" borderId="1" xfId="0" applyNumberFormat="1" applyBorder="1" applyAlignment="1" applyProtection="1">
      <alignment horizontal="center"/>
    </xf>
    <xf numFmtId="0" fontId="0" fillId="0" borderId="0" xfId="0" applyAlignment="1" applyProtection="1">
      <alignment vertical="center" wrapText="1"/>
      <protection locked="0"/>
    </xf>
    <xf numFmtId="0" fontId="3" fillId="0" borderId="6" xfId="0" applyFont="1" applyBorder="1" applyProtection="1">
      <protection locked="0"/>
    </xf>
    <xf numFmtId="164" fontId="3" fillId="0" borderId="4"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9" fillId="0" borderId="1" xfId="0" applyFont="1" applyBorder="1" applyAlignment="1">
      <alignment vertical="center"/>
    </xf>
    <xf numFmtId="44" fontId="9" fillId="0" borderId="7" xfId="1" applyNumberFormat="1" applyFont="1" applyBorder="1" applyAlignment="1">
      <alignment vertical="center"/>
    </xf>
    <xf numFmtId="44" fontId="9" fillId="0" borderId="1" xfId="0" applyNumberFormat="1" applyFont="1" applyBorder="1" applyAlignment="1">
      <alignment vertical="center"/>
    </xf>
    <xf numFmtId="0" fontId="0" fillId="0" borderId="1" xfId="0" applyBorder="1" applyAlignment="1" applyProtection="1">
      <alignment horizontal="center"/>
    </xf>
    <xf numFmtId="3" fontId="0" fillId="0" borderId="1" xfId="0" applyNumberFormat="1" applyBorder="1" applyAlignment="1" applyProtection="1">
      <alignment horizontal="center"/>
    </xf>
    <xf numFmtId="166" fontId="0" fillId="0" borderId="1" xfId="0" applyNumberFormat="1" applyBorder="1" applyAlignment="1" applyProtection="1">
      <alignment horizontal="center"/>
      <protection locked="0"/>
    </xf>
    <xf numFmtId="0" fontId="1" fillId="0" borderId="12" xfId="0" applyFont="1" applyBorder="1" applyAlignment="1" applyProtection="1">
      <alignment horizontal="left" vertical="top" wrapText="1"/>
    </xf>
    <xf numFmtId="165" fontId="1" fillId="0" borderId="12" xfId="0" applyNumberFormat="1" applyFont="1" applyBorder="1" applyAlignment="1" applyProtection="1">
      <alignment horizontal="left" vertical="top" wrapText="1"/>
    </xf>
    <xf numFmtId="9" fontId="1" fillId="0" borderId="12" xfId="0" applyNumberFormat="1" applyFont="1" applyBorder="1" applyAlignment="1" applyProtection="1">
      <alignment horizontal="left" vertical="top" wrapText="1"/>
    </xf>
    <xf numFmtId="0" fontId="0" fillId="3" borderId="10" xfId="0" applyFill="1" applyBorder="1" applyProtection="1"/>
    <xf numFmtId="0" fontId="0" fillId="3" borderId="1" xfId="0" applyFill="1" applyBorder="1" applyAlignment="1" applyProtection="1">
      <alignment horizontal="center"/>
    </xf>
    <xf numFmtId="44" fontId="0" fillId="0" borderId="1" xfId="0" applyNumberFormat="1" applyBorder="1" applyAlignment="1" applyProtection="1">
      <alignment horizontal="center"/>
    </xf>
    <xf numFmtId="44" fontId="0" fillId="0" borderId="1" xfId="0" applyNumberFormat="1" applyBorder="1" applyProtection="1"/>
    <xf numFmtId="44" fontId="0" fillId="3" borderId="10" xfId="0" applyNumberFormat="1" applyFill="1" applyBorder="1" applyProtection="1"/>
    <xf numFmtId="44" fontId="0" fillId="3" borderId="10" xfId="0" applyNumberFormat="1" applyFill="1" applyBorder="1" applyAlignment="1" applyProtection="1">
      <alignment horizontal="center"/>
    </xf>
    <xf numFmtId="0" fontId="0" fillId="4" borderId="8" xfId="0" applyFill="1" applyBorder="1" applyAlignment="1" applyProtection="1">
      <alignment horizontal="center"/>
      <protection locked="0"/>
    </xf>
    <xf numFmtId="0" fontId="1" fillId="0" borderId="1" xfId="0" applyFont="1" applyBorder="1" applyProtection="1">
      <protection locked="0"/>
    </xf>
    <xf numFmtId="0" fontId="0" fillId="0" borderId="10" xfId="0" applyFill="1" applyBorder="1" applyProtection="1">
      <protection locked="0"/>
    </xf>
    <xf numFmtId="0" fontId="0" fillId="0" borderId="4" xfId="0" applyBorder="1" applyAlignment="1" applyProtection="1">
      <alignment horizontal="left"/>
      <protection locked="0"/>
    </xf>
    <xf numFmtId="44" fontId="3" fillId="0" borderId="1" xfId="0" applyNumberFormat="1" applyFont="1" applyBorder="1" applyProtection="1"/>
    <xf numFmtId="0" fontId="9" fillId="0" borderId="5" xfId="0" applyFont="1" applyBorder="1" applyAlignment="1">
      <alignment vertical="center"/>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4" xfId="0" applyFont="1" applyBorder="1" applyAlignment="1">
      <alignment vertical="center"/>
    </xf>
    <xf numFmtId="44" fontId="11" fillId="5" borderId="10" xfId="0" applyNumberFormat="1" applyFont="1" applyFill="1" applyBorder="1" applyAlignment="1">
      <alignment vertical="center"/>
    </xf>
    <xf numFmtId="0" fontId="9" fillId="0" borderId="6" xfId="0" applyFont="1" applyBorder="1" applyAlignment="1">
      <alignment horizontal="center" vertical="center"/>
    </xf>
    <xf numFmtId="0" fontId="9" fillId="0" borderId="1" xfId="0" applyNumberFormat="1" applyFont="1" applyBorder="1" applyAlignment="1">
      <alignment horizontal="center" vertical="center"/>
    </xf>
    <xf numFmtId="0" fontId="12" fillId="0" borderId="13" xfId="0" applyFont="1" applyBorder="1" applyAlignment="1">
      <alignment vertical="center" wrapText="1"/>
    </xf>
    <xf numFmtId="0" fontId="12" fillId="0" borderId="3" xfId="0" applyFont="1" applyFill="1" applyBorder="1" applyAlignment="1">
      <alignment vertical="center"/>
    </xf>
    <xf numFmtId="0" fontId="0" fillId="3" borderId="1" xfId="0" applyFill="1" applyBorder="1" applyProtection="1"/>
    <xf numFmtId="44" fontId="0" fillId="3" borderId="1" xfId="0" applyNumberFormat="1" applyFill="1" applyBorder="1" applyProtection="1"/>
    <xf numFmtId="49" fontId="0" fillId="0" borderId="1" xfId="0" applyNumberFormat="1" applyBorder="1" applyAlignment="1" applyProtection="1">
      <alignment horizontal="center"/>
    </xf>
    <xf numFmtId="164" fontId="1" fillId="0" borderId="1"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wrapText="1"/>
    </xf>
    <xf numFmtId="44" fontId="3" fillId="0" borderId="1" xfId="0" applyNumberFormat="1" applyFont="1" applyFill="1" applyBorder="1" applyProtection="1"/>
    <xf numFmtId="0" fontId="1" fillId="2" borderId="1" xfId="0" applyFont="1" applyFill="1" applyBorder="1" applyAlignment="1" applyProtection="1">
      <alignment vertical="center" wrapText="1"/>
    </xf>
    <xf numFmtId="0" fontId="0" fillId="0" borderId="1" xfId="0" applyFont="1" applyBorder="1" applyProtection="1"/>
    <xf numFmtId="14" fontId="0" fillId="0" borderId="1" xfId="0" applyNumberFormat="1" applyFont="1" applyBorder="1" applyAlignment="1" applyProtection="1">
      <alignment horizontal="center"/>
    </xf>
    <xf numFmtId="0" fontId="0" fillId="0" borderId="0" xfId="0" applyFont="1" applyProtection="1"/>
    <xf numFmtId="0" fontId="0" fillId="0" borderId="1" xfId="0" applyFont="1" applyBorder="1" applyAlignment="1" applyProtection="1">
      <alignment vertical="center" wrapText="1"/>
    </xf>
    <xf numFmtId="0" fontId="0" fillId="0" borderId="1" xfId="0" applyNumberFormat="1" applyFont="1" applyBorder="1" applyAlignment="1" applyProtection="1">
      <alignment horizontal="center" vertical="center"/>
    </xf>
    <xf numFmtId="0" fontId="0" fillId="0" borderId="12" xfId="0" applyFont="1" applyBorder="1" applyAlignment="1" applyProtection="1">
      <alignment horizontal="left" vertical="top" wrapText="1"/>
    </xf>
    <xf numFmtId="14" fontId="0" fillId="0" borderId="10" xfId="0" applyNumberFormat="1" applyBorder="1" applyAlignment="1" applyProtection="1">
      <alignment horizontal="left" vertical="top" wrapText="1"/>
    </xf>
    <xf numFmtId="14" fontId="0" fillId="0" borderId="0" xfId="0" applyNumberFormat="1" applyAlignment="1" applyProtection="1">
      <alignment horizontal="left" vertical="top" wrapText="1"/>
    </xf>
    <xf numFmtId="164" fontId="1" fillId="0" borderId="12" xfId="0" applyNumberFormat="1" applyFont="1" applyBorder="1" applyAlignment="1" applyProtection="1">
      <alignment horizontal="left" vertical="top" wrapText="1"/>
    </xf>
    <xf numFmtId="0" fontId="1" fillId="0" borderId="13" xfId="0" applyFont="1" applyBorder="1" applyAlignment="1" applyProtection="1">
      <alignment horizontal="left" vertical="top" wrapText="1"/>
    </xf>
    <xf numFmtId="14" fontId="0" fillId="0" borderId="12" xfId="0" applyNumberFormat="1" applyBorder="1" applyAlignment="1" applyProtection="1">
      <alignment horizontal="left" vertical="top" wrapText="1"/>
    </xf>
    <xf numFmtId="0" fontId="0" fillId="0" borderId="0" xfId="0" applyNumberFormat="1" applyAlignment="1" applyProtection="1">
      <alignment horizontal="left" vertical="top" wrapText="1"/>
    </xf>
    <xf numFmtId="0" fontId="0" fillId="0" borderId="1" xfId="0" applyFont="1" applyBorder="1" applyProtection="1">
      <protection locked="0"/>
    </xf>
    <xf numFmtId="14" fontId="1" fillId="0" borderId="1" xfId="0" applyNumberFormat="1" applyFont="1" applyBorder="1" applyAlignment="1" applyProtection="1">
      <alignment horizontal="center"/>
    </xf>
    <xf numFmtId="44" fontId="2" fillId="0" borderId="1" xfId="0" applyNumberFormat="1" applyFont="1" applyFill="1" applyBorder="1" applyAlignment="1" applyProtection="1">
      <alignment vertical="center"/>
    </xf>
    <xf numFmtId="44" fontId="3" fillId="4" borderId="1" xfId="0" applyNumberFormat="1" applyFont="1" applyFill="1" applyBorder="1" applyProtection="1"/>
    <xf numFmtId="0" fontId="0" fillId="0" borderId="1" xfId="0" applyFont="1" applyFill="1" applyBorder="1" applyAlignment="1" applyProtection="1">
      <alignment horizontal="left"/>
    </xf>
    <xf numFmtId="9" fontId="0" fillId="0" borderId="1" xfId="0" applyNumberFormat="1" applyFont="1" applyFill="1" applyBorder="1" applyAlignment="1" applyProtection="1">
      <alignment horizontal="center"/>
    </xf>
    <xf numFmtId="0" fontId="0" fillId="0" borderId="0" xfId="0" applyAlignment="1" applyProtection="1">
      <alignment horizontal="center"/>
    </xf>
    <xf numFmtId="0" fontId="0" fillId="0" borderId="1" xfId="0" applyBorder="1" applyAlignment="1" applyProtection="1">
      <alignment horizontal="center" vertical="center"/>
    </xf>
    <xf numFmtId="44" fontId="0" fillId="0" borderId="1" xfId="0" applyNumberFormat="1" applyBorder="1" applyAlignment="1" applyProtection="1">
      <alignment horizontal="center" vertical="center"/>
    </xf>
    <xf numFmtId="167" fontId="0" fillId="0" borderId="1" xfId="2" applyNumberFormat="1" applyFont="1" applyBorder="1" applyAlignment="1" applyProtection="1">
      <alignment horizontal="center" vertical="center"/>
    </xf>
    <xf numFmtId="166" fontId="0" fillId="3" borderId="10" xfId="0" applyNumberFormat="1" applyFill="1" applyBorder="1" applyProtection="1"/>
    <xf numFmtId="0" fontId="0" fillId="3" borderId="10" xfId="0" applyFill="1" applyBorder="1" applyAlignment="1" applyProtection="1">
      <alignment horizontal="center"/>
    </xf>
    <xf numFmtId="0" fontId="2" fillId="0" borderId="13"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12" xfId="0" applyFont="1" applyBorder="1" applyAlignment="1" applyProtection="1">
      <alignment horizontal="left" vertical="center" wrapText="1"/>
    </xf>
    <xf numFmtId="164" fontId="2" fillId="0" borderId="7" xfId="0" applyNumberFormat="1" applyFont="1" applyBorder="1" applyAlignment="1" applyProtection="1">
      <alignment horizontal="left" vertical="center" wrapText="1"/>
    </xf>
    <xf numFmtId="0" fontId="2" fillId="0" borderId="1" xfId="0" applyFont="1" applyBorder="1" applyAlignment="1" applyProtection="1">
      <alignment wrapText="1"/>
    </xf>
    <xf numFmtId="164" fontId="2" fillId="0" borderId="1" xfId="0" applyNumberFormat="1" applyFont="1" applyBorder="1" applyAlignment="1" applyProtection="1">
      <alignment horizontal="center" vertical="center" wrapText="1"/>
    </xf>
    <xf numFmtId="0" fontId="2" fillId="7" borderId="0" xfId="0" applyFont="1" applyFill="1" applyAlignment="1" applyProtection="1">
      <alignment horizontal="center"/>
    </xf>
    <xf numFmtId="0" fontId="2" fillId="7" borderId="0" xfId="0" applyFont="1" applyFill="1" applyAlignment="1" applyProtection="1">
      <alignment horizontal="left"/>
    </xf>
    <xf numFmtId="0" fontId="2" fillId="0" borderId="1" xfId="0" applyFont="1" applyFill="1" applyBorder="1" applyAlignment="1" applyProtection="1">
      <alignment horizontal="right" vertical="center" wrapText="1"/>
    </xf>
    <xf numFmtId="0" fontId="0" fillId="7" borderId="0" xfId="0" applyFont="1" applyFill="1" applyProtection="1"/>
    <xf numFmtId="0" fontId="3" fillId="7" borderId="0" xfId="0" applyFont="1" applyFill="1" applyAlignment="1" applyProtection="1">
      <alignment wrapText="1"/>
    </xf>
    <xf numFmtId="0" fontId="0" fillId="7" borderId="0" xfId="0" applyFill="1" applyProtection="1"/>
    <xf numFmtId="0" fontId="2" fillId="7" borderId="0" xfId="0" applyFont="1" applyFill="1" applyProtection="1"/>
    <xf numFmtId="0" fontId="3" fillId="7" borderId="0" xfId="0" applyFont="1" applyFill="1" applyProtection="1"/>
    <xf numFmtId="0" fontId="3" fillId="0" borderId="1" xfId="0" applyFont="1" applyBorder="1" applyAlignment="1" applyProtection="1">
      <alignment horizontal="right"/>
    </xf>
    <xf numFmtId="0" fontId="3" fillId="0" borderId="1" xfId="0" applyFont="1" applyBorder="1" applyAlignment="1" applyProtection="1">
      <alignment horizontal="right" wrapText="1"/>
    </xf>
    <xf numFmtId="0" fontId="3" fillId="0" borderId="1" xfId="0" applyFont="1" applyFill="1" applyBorder="1" applyAlignment="1" applyProtection="1">
      <alignment horizontal="right" wrapText="1"/>
    </xf>
    <xf numFmtId="44" fontId="3" fillId="0" borderId="1" xfId="0" applyNumberFormat="1" applyFont="1" applyBorder="1" applyAlignment="1" applyProtection="1"/>
    <xf numFmtId="164" fontId="3" fillId="7" borderId="0" xfId="0" applyNumberFormat="1" applyFont="1" applyFill="1" applyProtection="1"/>
    <xf numFmtId="0" fontId="3" fillId="4" borderId="1" xfId="0" applyFont="1" applyFill="1" applyBorder="1" applyAlignment="1" applyProtection="1">
      <alignment horizontal="right" wrapText="1"/>
    </xf>
    <xf numFmtId="9" fontId="3" fillId="0" borderId="1" xfId="2" applyFont="1" applyBorder="1" applyAlignment="1" applyProtection="1">
      <alignment horizontal="center"/>
    </xf>
    <xf numFmtId="0" fontId="3" fillId="4" borderId="1" xfId="0" applyFont="1" applyFill="1" applyBorder="1" applyAlignment="1" applyProtection="1">
      <alignment horizontal="right"/>
    </xf>
    <xf numFmtId="0" fontId="3" fillId="0" borderId="0" xfId="0" applyFont="1" applyProtection="1"/>
    <xf numFmtId="0" fontId="3" fillId="0" borderId="0" xfId="0" applyFont="1" applyAlignment="1" applyProtection="1">
      <alignment wrapText="1"/>
    </xf>
    <xf numFmtId="44" fontId="9" fillId="0" borderId="1" xfId="1" applyFont="1" applyFill="1" applyBorder="1" applyAlignment="1" applyProtection="1">
      <alignment vertical="center"/>
      <protection locked="0"/>
    </xf>
    <xf numFmtId="44" fontId="9" fillId="0" borderId="7" xfId="1" applyNumberFormat="1" applyFont="1" applyFill="1" applyBorder="1" applyAlignment="1" applyProtection="1">
      <alignment vertical="center"/>
      <protection locked="0"/>
    </xf>
    <xf numFmtId="44" fontId="9" fillId="0" borderId="4" xfId="1" applyNumberFormat="1" applyFont="1" applyFill="1" applyBorder="1" applyAlignment="1" applyProtection="1">
      <alignment vertical="center"/>
      <protection locked="0"/>
    </xf>
    <xf numFmtId="44" fontId="9" fillId="0" borderId="7" xfId="1" applyFont="1" applyFill="1" applyBorder="1" applyAlignment="1" applyProtection="1">
      <alignment vertical="center"/>
      <protection locked="0"/>
    </xf>
    <xf numFmtId="44" fontId="9" fillId="0" borderId="4" xfId="1" applyFont="1" applyFill="1" applyBorder="1" applyAlignment="1" applyProtection="1">
      <alignment vertical="center"/>
      <protection locked="0"/>
    </xf>
    <xf numFmtId="44" fontId="9" fillId="0" borderId="1" xfId="1" applyNumberFormat="1" applyFont="1" applyFill="1" applyBorder="1" applyAlignment="1" applyProtection="1">
      <alignment vertical="center"/>
      <protection locked="0"/>
    </xf>
    <xf numFmtId="44" fontId="9" fillId="0" borderId="1" xfId="0" applyNumberFormat="1" applyFont="1" applyBorder="1" applyAlignment="1" applyProtection="1">
      <alignment vertical="center"/>
      <protection locked="0"/>
    </xf>
    <xf numFmtId="165" fontId="1" fillId="0" borderId="1" xfId="0" applyNumberFormat="1" applyFont="1" applyBorder="1" applyAlignment="1" applyProtection="1">
      <alignment horizontal="center" vertical="center" wrapText="1"/>
    </xf>
    <xf numFmtId="0" fontId="2" fillId="3" borderId="1" xfId="0" applyFont="1" applyFill="1" applyBorder="1" applyAlignment="1" applyProtection="1"/>
    <xf numFmtId="0" fontId="3" fillId="0" borderId="5" xfId="0" applyFont="1" applyBorder="1" applyProtection="1">
      <protection locked="0"/>
    </xf>
    <xf numFmtId="44" fontId="0" fillId="3" borderId="1" xfId="0" applyNumberFormat="1" applyFill="1" applyBorder="1" applyAlignment="1" applyProtection="1">
      <alignment horizontal="center"/>
    </xf>
    <xf numFmtId="44" fontId="9" fillId="0" borderId="8" xfId="1" applyNumberFormat="1" applyFont="1" applyFill="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1" xfId="0" applyNumberFormat="1" applyFont="1" applyBorder="1" applyAlignment="1" applyProtection="1">
      <alignment horizontal="center" vertical="center"/>
      <protection locked="0"/>
    </xf>
    <xf numFmtId="44" fontId="11" fillId="6" borderId="8" xfId="0" applyNumberFormat="1" applyFont="1" applyFill="1" applyBorder="1" applyAlignment="1">
      <alignment vertical="center"/>
    </xf>
    <xf numFmtId="0" fontId="11" fillId="6" borderId="11" xfId="0" applyFont="1" applyFill="1" applyBorder="1" applyAlignment="1">
      <alignment vertical="center"/>
    </xf>
    <xf numFmtId="0" fontId="11" fillId="6" borderId="10" xfId="0" applyFont="1" applyFill="1" applyBorder="1" applyAlignment="1">
      <alignment vertical="center"/>
    </xf>
    <xf numFmtId="44" fontId="11" fillId="6" borderId="10" xfId="0" applyNumberFormat="1" applyFont="1" applyFill="1" applyBorder="1" applyAlignment="1">
      <alignment vertical="center"/>
    </xf>
    <xf numFmtId="0" fontId="10" fillId="0" borderId="1" xfId="0" applyFont="1" applyFill="1" applyBorder="1" applyAlignment="1">
      <alignment horizontal="center" vertical="center" wrapText="1"/>
    </xf>
    <xf numFmtId="0" fontId="0" fillId="7" borderId="0" xfId="0" applyFill="1"/>
    <xf numFmtId="0" fontId="1" fillId="7" borderId="0" xfId="0" applyFont="1" applyFill="1" applyBorder="1" applyAlignment="1">
      <alignment horizontal="right"/>
    </xf>
    <xf numFmtId="0" fontId="0" fillId="0" borderId="0" xfId="0" applyFill="1" applyProtection="1"/>
    <xf numFmtId="0" fontId="1" fillId="0" borderId="0" xfId="0" applyFont="1" applyFill="1" applyProtection="1"/>
    <xf numFmtId="0" fontId="1" fillId="7" borderId="0" xfId="0" applyFont="1" applyFill="1" applyBorder="1" applyAlignment="1">
      <alignment horizontal="left"/>
    </xf>
    <xf numFmtId="0" fontId="0" fillId="0" borderId="15" xfId="0" applyBorder="1"/>
    <xf numFmtId="0" fontId="0" fillId="7" borderId="0" xfId="0" applyFill="1" applyBorder="1" applyAlignment="1">
      <alignment horizontal="left"/>
    </xf>
    <xf numFmtId="0" fontId="0" fillId="0" borderId="2" xfId="0" applyBorder="1" applyProtection="1"/>
    <xf numFmtId="0" fontId="0" fillId="7" borderId="11" xfId="0" applyFill="1" applyBorder="1"/>
    <xf numFmtId="44" fontId="1" fillId="7" borderId="11" xfId="0" applyNumberFormat="1" applyFont="1" applyFill="1" applyBorder="1"/>
    <xf numFmtId="0" fontId="1" fillId="7" borderId="11" xfId="0" applyFont="1" applyFill="1" applyBorder="1"/>
    <xf numFmtId="0" fontId="1" fillId="7" borderId="3" xfId="0" applyFont="1" applyFill="1" applyBorder="1" applyAlignment="1">
      <alignment horizontal="left"/>
    </xf>
    <xf numFmtId="44" fontId="1" fillId="7" borderId="13" xfId="0" applyNumberFormat="1" applyFont="1" applyFill="1" applyBorder="1"/>
    <xf numFmtId="0" fontId="13" fillId="7" borderId="0" xfId="0" applyFont="1" applyFill="1" applyBorder="1"/>
    <xf numFmtId="44" fontId="9" fillId="7" borderId="0" xfId="1" applyFont="1" applyFill="1" applyBorder="1" applyAlignment="1">
      <alignment vertical="center"/>
    </xf>
    <xf numFmtId="44" fontId="10" fillId="7" borderId="0" xfId="1" applyFont="1" applyFill="1" applyBorder="1" applyAlignment="1">
      <alignment vertical="center"/>
    </xf>
    <xf numFmtId="0" fontId="13" fillId="7" borderId="0" xfId="0" applyFont="1" applyFill="1" applyBorder="1" applyAlignment="1">
      <alignment textRotation="90"/>
    </xf>
    <xf numFmtId="0" fontId="9" fillId="7" borderId="0" xfId="0" applyFont="1" applyFill="1" applyBorder="1" applyAlignment="1">
      <alignment vertical="center"/>
    </xf>
    <xf numFmtId="44" fontId="10" fillId="7" borderId="0" xfId="1" applyNumberFormat="1" applyFont="1" applyFill="1" applyBorder="1" applyAlignment="1">
      <alignment vertical="center"/>
    </xf>
    <xf numFmtId="0" fontId="9" fillId="7" borderId="0" xfId="1" applyNumberFormat="1" applyFont="1" applyFill="1" applyBorder="1" applyAlignment="1">
      <alignment vertical="center"/>
    </xf>
    <xf numFmtId="0" fontId="10" fillId="7" borderId="0" xfId="1" applyNumberFormat="1" applyFont="1" applyFill="1" applyBorder="1" applyAlignment="1">
      <alignment vertical="center"/>
    </xf>
    <xf numFmtId="44" fontId="10" fillId="7" borderId="0" xfId="1" applyFont="1" applyFill="1" applyBorder="1" applyAlignment="1">
      <alignment horizontal="left" vertical="center"/>
    </xf>
    <xf numFmtId="0" fontId="0" fillId="0" borderId="10" xfId="0" applyBorder="1" applyProtection="1">
      <protection locked="0"/>
    </xf>
    <xf numFmtId="165" fontId="0" fillId="0" borderId="1" xfId="0" applyNumberFormat="1" applyBorder="1" applyProtection="1"/>
    <xf numFmtId="0" fontId="0" fillId="0" borderId="8" xfId="0" applyBorder="1" applyAlignment="1" applyProtection="1">
      <alignment horizontal="left"/>
      <protection locked="0"/>
    </xf>
    <xf numFmtId="0" fontId="0" fillId="0" borderId="1" xfId="0" applyNumberFormat="1" applyBorder="1" applyAlignment="1" applyProtection="1">
      <alignment horizontal="center"/>
    </xf>
    <xf numFmtId="0" fontId="9" fillId="0" borderId="5" xfId="0" applyNumberFormat="1" applyFont="1" applyBorder="1" applyAlignment="1">
      <alignment vertical="center"/>
    </xf>
    <xf numFmtId="14" fontId="0" fillId="0" borderId="1" xfId="0" applyNumberFormat="1" applyBorder="1" applyAlignment="1" applyProtection="1">
      <alignment horizontal="center"/>
    </xf>
    <xf numFmtId="166" fontId="0" fillId="0" borderId="5" xfId="0" applyNumberFormat="1" applyBorder="1" applyAlignment="1" applyProtection="1">
      <alignment horizontal="center"/>
    </xf>
    <xf numFmtId="164" fontId="0" fillId="0" borderId="1" xfId="0" applyNumberFormat="1" applyFill="1" applyBorder="1" applyAlignment="1" applyProtection="1">
      <alignment horizontal="center"/>
    </xf>
    <xf numFmtId="0" fontId="1" fillId="5" borderId="4" xfId="0" applyFont="1" applyFill="1" applyBorder="1" applyProtection="1"/>
    <xf numFmtId="44" fontId="0" fillId="5" borderId="1" xfId="0" applyNumberFormat="1" applyFill="1" applyBorder="1" applyProtection="1">
      <protection locked="0"/>
    </xf>
    <xf numFmtId="44" fontId="0" fillId="5" borderId="1" xfId="0" applyNumberFormat="1" applyFill="1" applyBorder="1" applyAlignment="1" applyProtection="1">
      <alignment horizontal="center"/>
      <protection locked="0"/>
    </xf>
    <xf numFmtId="0" fontId="0" fillId="0" borderId="0" xfId="0" applyFill="1"/>
    <xf numFmtId="0" fontId="9" fillId="0" borderId="5" xfId="0"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9" fillId="0" borderId="1" xfId="0" applyNumberFormat="1" applyFont="1" applyBorder="1" applyAlignment="1" applyProtection="1">
      <alignment vertical="center"/>
    </xf>
    <xf numFmtId="44" fontId="11" fillId="0" borderId="8" xfId="0" applyNumberFormat="1" applyFont="1" applyBorder="1" applyAlignment="1" applyProtection="1">
      <alignment vertical="center"/>
    </xf>
    <xf numFmtId="44" fontId="11" fillId="0" borderId="1" xfId="0" applyNumberFormat="1" applyFont="1" applyBorder="1" applyAlignment="1" applyProtection="1">
      <alignment vertical="center"/>
    </xf>
    <xf numFmtId="44" fontId="9" fillId="0" borderId="10" xfId="0" applyNumberFormat="1" applyFont="1" applyBorder="1" applyAlignment="1" applyProtection="1">
      <alignment vertical="center"/>
    </xf>
    <xf numFmtId="44" fontId="9" fillId="0" borderId="1" xfId="1" applyNumberFormat="1" applyFont="1" applyBorder="1" applyAlignment="1" applyProtection="1">
      <alignment vertical="center"/>
    </xf>
    <xf numFmtId="0" fontId="9" fillId="0" borderId="1" xfId="1" applyNumberFormat="1" applyFont="1" applyBorder="1" applyAlignment="1" applyProtection="1">
      <alignment vertical="center"/>
    </xf>
    <xf numFmtId="44" fontId="11" fillId="0" borderId="1" xfId="1" applyFont="1" applyBorder="1" applyAlignment="1" applyProtection="1">
      <alignment vertical="center"/>
    </xf>
    <xf numFmtId="44" fontId="11" fillId="5" borderId="8" xfId="0" applyNumberFormat="1" applyFont="1" applyFill="1" applyBorder="1" applyAlignment="1" applyProtection="1">
      <alignment vertical="center"/>
    </xf>
    <xf numFmtId="0" fontId="11" fillId="5" borderId="8" xfId="0" applyFont="1" applyFill="1" applyBorder="1" applyAlignment="1" applyProtection="1">
      <alignment vertical="center"/>
    </xf>
    <xf numFmtId="44" fontId="9" fillId="0" borderId="7" xfId="1" applyNumberFormat="1" applyFont="1" applyBorder="1" applyAlignment="1" applyProtection="1">
      <alignment vertical="center"/>
    </xf>
    <xf numFmtId="44" fontId="9" fillId="0" borderId="12" xfId="1" applyFont="1" applyBorder="1" applyAlignment="1" applyProtection="1">
      <alignment vertical="center"/>
    </xf>
    <xf numFmtId="44" fontId="11" fillId="0" borderId="1" xfId="1" applyNumberFormat="1" applyFont="1" applyBorder="1" applyAlignment="1" applyProtection="1">
      <alignment vertical="center"/>
    </xf>
    <xf numFmtId="44" fontId="9" fillId="0" borderId="8" xfId="1" applyNumberFormat="1" applyFont="1" applyBorder="1" applyAlignment="1" applyProtection="1">
      <alignment vertical="center"/>
    </xf>
    <xf numFmtId="0" fontId="11" fillId="5" borderId="11" xfId="0" applyFont="1" applyFill="1" applyBorder="1" applyAlignment="1" applyProtection="1">
      <alignment vertical="center"/>
    </xf>
    <xf numFmtId="44" fontId="11" fillId="5" borderId="10" xfId="0" applyNumberFormat="1" applyFont="1" applyFill="1" applyBorder="1" applyAlignment="1" applyProtection="1">
      <alignment vertical="center"/>
    </xf>
    <xf numFmtId="44" fontId="0" fillId="0" borderId="1" xfId="0" applyNumberFormat="1" applyBorder="1" applyProtection="1">
      <protection locked="0"/>
    </xf>
    <xf numFmtId="0" fontId="9" fillId="7" borderId="0" xfId="0" applyFont="1" applyFill="1"/>
    <xf numFmtId="0" fontId="10" fillId="7" borderId="0" xfId="0" applyFont="1" applyFill="1" applyAlignment="1" applyProtection="1">
      <alignment horizontal="center"/>
      <protection locked="0"/>
    </xf>
    <xf numFmtId="0" fontId="5" fillId="0" borderId="1" xfId="0" applyFont="1" applyBorder="1" applyProtection="1"/>
    <xf numFmtId="0" fontId="5" fillId="0" borderId="1" xfId="0" applyFont="1" applyBorder="1" applyAlignment="1" applyProtection="1">
      <alignment horizontal="center"/>
    </xf>
    <xf numFmtId="0" fontId="6" fillId="0" borderId="1" xfId="0" applyFont="1" applyBorder="1" applyProtection="1"/>
    <xf numFmtId="0" fontId="6" fillId="0" borderId="1" xfId="0" applyFont="1" applyBorder="1" applyAlignment="1" applyProtection="1">
      <alignment horizontal="center"/>
    </xf>
    <xf numFmtId="0" fontId="3" fillId="0" borderId="1" xfId="0" applyFont="1" applyBorder="1" applyAlignment="1" applyProtection="1">
      <alignment horizontal="left"/>
      <protection locked="0"/>
    </xf>
    <xf numFmtId="0" fontId="3" fillId="0" borderId="6" xfId="0" applyFont="1" applyBorder="1" applyAlignment="1" applyProtection="1">
      <alignment horizontal="left"/>
      <protection locked="0"/>
    </xf>
    <xf numFmtId="44" fontId="0" fillId="0" borderId="0" xfId="0" applyNumberFormat="1"/>
    <xf numFmtId="0" fontId="15" fillId="4" borderId="1" xfId="0" applyFont="1" applyFill="1" applyBorder="1" applyAlignment="1">
      <alignment vertical="center" wrapText="1"/>
    </xf>
    <xf numFmtId="0" fontId="15" fillId="4" borderId="1" xfId="0" applyFont="1" applyFill="1" applyBorder="1" applyAlignment="1">
      <alignment vertical="center"/>
    </xf>
    <xf numFmtId="44" fontId="15" fillId="4" borderId="1" xfId="0" applyNumberFormat="1" applyFont="1" applyFill="1" applyBorder="1" applyAlignment="1">
      <alignment vertical="center"/>
    </xf>
    <xf numFmtId="44" fontId="15" fillId="4" borderId="12" xfId="0" applyNumberFormat="1" applyFont="1" applyFill="1" applyBorder="1" applyAlignment="1">
      <alignment vertical="center" wrapText="1"/>
    </xf>
    <xf numFmtId="44" fontId="0" fillId="0" borderId="0" xfId="0" applyNumberFormat="1" applyProtection="1">
      <protection locked="0"/>
    </xf>
    <xf numFmtId="0" fontId="1" fillId="3" borderId="11" xfId="0" applyFont="1" applyFill="1" applyBorder="1" applyAlignment="1" applyProtection="1">
      <alignment horizontal="left"/>
    </xf>
    <xf numFmtId="0" fontId="0" fillId="3" borderId="0" xfId="0" applyFill="1"/>
    <xf numFmtId="44" fontId="0" fillId="3" borderId="0" xfId="0" applyNumberFormat="1" applyFill="1"/>
    <xf numFmtId="0" fontId="1" fillId="0" borderId="0" xfId="0" applyFont="1" applyBorder="1" applyAlignment="1">
      <alignment vertical="center"/>
    </xf>
    <xf numFmtId="0" fontId="2" fillId="7"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6" fillId="7" borderId="0" xfId="0" applyFont="1" applyFill="1" applyAlignment="1">
      <alignment horizontal="center" wrapText="1"/>
    </xf>
    <xf numFmtId="0" fontId="1" fillId="7" borderId="0" xfId="0" applyFont="1" applyFill="1" applyBorder="1" applyAlignment="1">
      <alignment horizontal="left"/>
    </xf>
    <xf numFmtId="0" fontId="1" fillId="7" borderId="11" xfId="0" applyFont="1" applyFill="1" applyBorder="1" applyAlignment="1">
      <alignment horizontal="left"/>
    </xf>
    <xf numFmtId="0" fontId="1" fillId="2" borderId="4"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5" xfId="0" applyFont="1" applyFill="1" applyBorder="1" applyAlignment="1" applyProtection="1">
      <alignment horizontal="center"/>
    </xf>
    <xf numFmtId="0" fontId="1" fillId="3" borderId="0" xfId="0" applyFont="1" applyFill="1" applyBorder="1" applyAlignment="1">
      <alignment horizontal="center" vertical="center"/>
    </xf>
    <xf numFmtId="0" fontId="6" fillId="0" borderId="0" xfId="0" applyFont="1" applyAlignment="1" applyProtection="1">
      <alignment horizontal="center" vertical="center" wrapText="1"/>
    </xf>
    <xf numFmtId="0" fontId="7" fillId="7" borderId="0" xfId="0" applyFont="1" applyFill="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44" fontId="2" fillId="3" borderId="4" xfId="0" applyNumberFormat="1" applyFont="1" applyFill="1" applyBorder="1" applyAlignment="1" applyProtection="1">
      <alignment horizontal="center"/>
    </xf>
    <xf numFmtId="44" fontId="2" fillId="3" borderId="2" xfId="0" applyNumberFormat="1" applyFont="1" applyFill="1" applyBorder="1" applyAlignment="1" applyProtection="1">
      <alignment horizontal="center"/>
    </xf>
    <xf numFmtId="44" fontId="2" fillId="3" borderId="5" xfId="0" applyNumberFormat="1" applyFont="1" applyFill="1" applyBorder="1" applyAlignment="1" applyProtection="1">
      <alignment horizont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44" fontId="14" fillId="0" borderId="0" xfId="0" applyNumberFormat="1" applyFont="1" applyBorder="1" applyAlignment="1">
      <alignment horizontal="center" vertical="center"/>
    </xf>
    <xf numFmtId="44" fontId="14" fillId="0" borderId="16" xfId="0" applyNumberFormat="1" applyFont="1" applyBorder="1" applyAlignment="1">
      <alignment horizontal="center" vertical="center"/>
    </xf>
    <xf numFmtId="0" fontId="10" fillId="7" borderId="0" xfId="0" applyFont="1" applyFill="1" applyBorder="1" applyAlignment="1">
      <alignment horizontal="center" vertical="center" wrapText="1"/>
    </xf>
    <xf numFmtId="0" fontId="10" fillId="7" borderId="0" xfId="0" applyFont="1" applyFill="1" applyAlignment="1">
      <alignment horizontal="left"/>
    </xf>
  </cellXfs>
  <cellStyles count="3">
    <cellStyle name="Currency" xfId="1" builtinId="4"/>
    <cellStyle name="Normal" xfId="0" builtinId="0"/>
    <cellStyle name="Percent" xfId="2" builtinId="5"/>
  </cellStyles>
  <dxfs count="156">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bottom/>
      </border>
      <protection locked="0" hidden="0"/>
    </dxf>
    <dxf>
      <numFmt numFmtId="34" formatCode="_-&quot;£&quot;* #,##0.00_-;\-&quot;£&quot;* #,##0.00_-;_-&quot;£&quot;* &quot;-&quot;??_-;_-@_-"/>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numFmt numFmtId="34" formatCode="_-&quot;£&quot;* #,##0.00_-;\-&quot;£&quot;* #,##0.00_-;_-&quot;£&quot;* &quot;-&quot;??_-;_-@_-"/>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numFmt numFmtId="34" formatCode="_-&quot;£&quot;* #,##0.00_-;\-&quot;£&quot;* #,##0.00_-;_-&quot;£&quot;* &quot;-&quot;??_-;_-@_-"/>
      <fill>
        <patternFill patternType="solid">
          <fgColor indexed="64"/>
          <bgColor rgb="FFFFFF00"/>
        </patternFill>
      </fill>
      <border diagonalUp="0" diagonalDown="0" outline="0">
        <left style="thin">
          <color auto="1"/>
        </left>
        <right style="thin">
          <color auto="1"/>
        </right>
        <top/>
        <bottom/>
      </border>
      <protection locked="1" hidden="0"/>
    </dxf>
    <dxf>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auto="1"/>
        </right>
        <top/>
        <bottom/>
      </border>
      <protection locked="1" hidden="0"/>
    </dxf>
    <dxf>
      <font>
        <b/>
        <i val="0"/>
        <strike val="0"/>
        <condense val="0"/>
        <extend val="0"/>
        <outline val="0"/>
        <shadow val="0"/>
        <u val="none"/>
        <vertAlign val="baseline"/>
        <sz val="11"/>
        <color theme="1"/>
        <name val="Calibri"/>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auto="1"/>
        </right>
        <top/>
        <bottom/>
      </border>
      <protection locked="1" hidden="0"/>
    </dxf>
    <dxf>
      <fill>
        <patternFill>
          <bgColor rgb="FFFF0000"/>
        </patternFill>
      </fill>
    </dxf>
    <dxf>
      <fill>
        <patternFill>
          <bgColor rgb="FF92D050"/>
        </patternFill>
      </fill>
    </dxf>
    <dxf>
      <fill>
        <patternFill>
          <bgColor rgb="FFFFC000"/>
        </patternFill>
      </fill>
    </dxf>
    <dxf>
      <fill>
        <patternFill patternType="none">
          <bgColor auto="1"/>
        </patternFill>
      </fill>
    </dxf>
    <dxf>
      <fill>
        <patternFill>
          <bgColor rgb="FFFF0000"/>
        </patternFill>
      </fill>
    </dxf>
    <dxf>
      <fill>
        <patternFill>
          <bgColor rgb="FF92D050"/>
        </patternFill>
      </fill>
    </dxf>
    <dxf>
      <fill>
        <patternFill>
          <bgColor rgb="FFFFC000"/>
        </patternFill>
      </fill>
    </dxf>
    <dxf>
      <fill>
        <patternFill patternType="none">
          <bgColor auto="1"/>
        </patternFill>
      </fill>
    </dxf>
    <dxf>
      <protection locked="1" hidden="0"/>
    </dxf>
    <dxf>
      <protection locked="1" hidden="0"/>
    </dxf>
    <dxf>
      <protection locked="1" hidden="0"/>
    </dxf>
    <dxf>
      <numFmt numFmtId="164" formatCode="&quot;£&quot;#,##0.00"/>
      <protection locked="1" hidden="0"/>
    </dxf>
    <dxf>
      <protection locked="1" hidden="0"/>
    </dxf>
    <dxf>
      <protection locked="1" hidden="0"/>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numFmt numFmtId="34" formatCode="_-&quot;£&quot;* #,##0.00_-;\-&quot;£&quot;* #,##0.00_-;_-&quot;£&quot;* &quot;-&quot;??_-;_-@_-"/>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numFmt numFmtId="34" formatCode="_-&quot;£&quot;* #,##0.00_-;\-&quot;£&quot;* #,##0.00_-;_-&quot;£&quot;* &quot;-&quot;??_-;_-@_-"/>
      <border>
        <right style="thin">
          <color auto="1"/>
        </right>
      </border>
      <protection locked="1" hidden="0"/>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0" indent="0" justifyLastLine="0" shrinkToFit="0" readingOrder="0"/>
      <border diagonalUp="0" diagonalDown="0" outline="0">
        <left/>
        <right style="thin">
          <color auto="1"/>
        </right>
        <top/>
        <bottom/>
      </border>
      <protection locked="1" hidden="0"/>
    </dxf>
    <dxf>
      <numFmt numFmtId="0" formatCode="General"/>
      <border>
        <right style="thin">
          <color auto="1"/>
        </right>
      </border>
    </dxf>
    <dxf>
      <fill>
        <patternFill patternType="solid">
          <fgColor indexed="64"/>
          <bgColor rgb="FFFFC000"/>
        </patternFill>
      </fill>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indexed="64"/>
        </left>
        <right/>
        <top/>
        <bottom/>
      </border>
      <protection locked="1" hidden="0"/>
    </dxf>
    <dxf>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numFmt numFmtId="34" formatCode="_-&quot;£&quot;* #,##0.00_-;\-&quot;£&quot;* #,##0.00_-;_-&quot;£&quot;* &quot;-&quot;??_-;_-@_-"/>
      <alignment horizontal="general" vertical="center" textRotation="0" wrapText="0" indent="0" justifyLastLine="0" shrinkToFit="0" readingOrder="0"/>
      <border diagonalUp="0" diagonalDown="0">
        <left style="thin">
          <color indexed="64"/>
        </left>
        <right/>
        <top/>
        <bottom/>
        <vertical/>
        <horizontal/>
      </border>
      <protection locked="1"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rgb="FFFFC000"/>
        </patternFill>
      </fill>
      <alignment horizontal="general" vertical="center" textRotation="0" wrapText="0" indent="0" justifyLastLine="0" shrinkToFit="0" readingOrder="0"/>
      <border diagonalUp="0" diagonalDown="0" outline="0">
        <left style="thin">
          <color auto="1"/>
        </left>
        <right style="thin">
          <color auto="1"/>
        </right>
        <top/>
        <bottom/>
      </border>
    </dxf>
    <dxf>
      <protection locked="1" hidden="0"/>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0" indent="0" justifyLastLine="0" shrinkToFit="0" readingOrder="0"/>
      <border diagonalUp="0" diagonalDown="0" outline="0">
        <left/>
        <right style="thin">
          <color auto="1"/>
        </right>
        <top/>
        <bottom/>
      </border>
      <protection locked="1" hidden="0"/>
    </dxf>
    <dxf>
      <fill>
        <patternFill patternType="solid">
          <fgColor indexed="64"/>
          <bgColor rgb="FFFFC000"/>
        </patternFill>
      </fill>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theme="7"/>
        </patternFill>
      </fill>
      <alignment horizontal="general" vertical="center" textRotation="0" wrapText="0" indent="0" justifyLastLine="0" shrinkToFit="0" readingOrder="0"/>
      <border diagonalUp="0" diagonalDown="0" outline="0">
        <left style="thin">
          <color indexed="64"/>
        </left>
        <right/>
        <top/>
        <bottom/>
      </border>
    </dxf>
    <dxf>
      <numFmt numFmtId="34" formatCode="_-&quot;£&quot;* #,##0.00_-;\-&quot;£&quot;* #,##0.00_-;_-&quot;£&quot;* &quot;-&quot;??_-;_-@_-"/>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theme="7"/>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theme="7"/>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theme="7"/>
        </patternFill>
      </fill>
      <alignment horizontal="general" vertical="center" textRotation="0" wrapText="0" indent="0" justifyLastLine="0" shrinkToFit="0" readingOrder="0"/>
      <border diagonalUp="0" diagonalDown="0" outline="0">
        <left style="thin">
          <color indexed="64"/>
        </left>
        <right/>
        <top/>
        <bottom/>
      </border>
    </dxf>
    <dxf>
      <numFmt numFmtId="34" formatCode="_-&quot;£&quot;* #,##0.00_-;\-&quot;£&quot;* #,##0.00_-;_-&quot;£&quot;* &quot;-&quot;??_-;_-@_-"/>
      <border>
        <left style="thin">
          <color auto="1"/>
        </left>
      </border>
      <protection locked="0" hidden="0"/>
    </dxf>
    <dxf>
      <font>
        <b val="0"/>
        <i val="0"/>
        <strike val="0"/>
        <condense val="0"/>
        <extend val="0"/>
        <outline val="0"/>
        <shadow val="0"/>
        <u val="none"/>
        <vertAlign val="baseline"/>
        <sz val="12"/>
        <color theme="1"/>
        <name val="Arial"/>
        <scheme val="none"/>
      </font>
      <numFmt numFmtId="34" formatCode="_-&quot;£&quot;* #,##0.00_-;\-&quot;£&quot;* #,##0.00_-;_-&quot;£&quot;* &quot;-&quot;??_-;_-@_-"/>
      <fill>
        <patternFill patternType="solid">
          <fgColor indexed="64"/>
          <bgColor theme="7"/>
        </patternFill>
      </fill>
      <alignment horizontal="general" vertical="center" textRotation="0" wrapText="0" indent="0" justifyLastLine="0" shrinkToFit="0" readingOrder="0"/>
      <border diagonalUp="0" diagonalDown="0" outline="0">
        <left style="thin">
          <color auto="1"/>
        </left>
        <right style="thin">
          <color auto="1"/>
        </right>
        <top/>
        <bottom/>
      </border>
    </dxf>
    <dxf>
      <numFmt numFmtId="34" formatCode="_-&quot;£&quot;* #,##0.00_-;\-&quot;£&quot;* #,##0.00_-;_-&quot;£&quot;* &quot;-&quot;??_-;_-@_-"/>
      <border outline="0">
        <left style="thin">
          <color auto="1"/>
        </left>
        <right style="thin">
          <color indexed="64"/>
        </right>
      </border>
    </dxf>
    <dxf>
      <font>
        <b val="0"/>
        <i val="0"/>
        <strike val="0"/>
        <condense val="0"/>
        <extend val="0"/>
        <outline val="0"/>
        <shadow val="0"/>
        <u val="none"/>
        <vertAlign val="baseline"/>
        <sz val="12"/>
        <color theme="1"/>
        <name val="Arial"/>
        <scheme val="none"/>
      </font>
      <fill>
        <patternFill patternType="solid">
          <fgColor indexed="64"/>
          <bgColor theme="7"/>
        </patternFill>
      </fill>
      <alignment horizontal="general" vertical="center" textRotation="0" wrapText="0" indent="0" justifyLastLine="0" shrinkToFit="0" readingOrder="0"/>
      <border diagonalUp="0" diagonalDown="0" outline="0">
        <left style="thin">
          <color auto="1"/>
        </left>
        <right style="thin">
          <color auto="1"/>
        </right>
        <top/>
        <bottom/>
      </border>
    </dxf>
    <dxf>
      <numFmt numFmtId="0" formatCode="General"/>
      <alignment horizontal="center" vertical="center" textRotation="0" wrapText="0" indent="0" justifyLastLine="0" shrinkToFit="0" readingOrder="0"/>
      <border outline="0">
        <right style="thin">
          <color auto="1"/>
        </right>
      </border>
    </dxf>
    <dxf>
      <font>
        <b val="0"/>
        <i val="0"/>
        <strike val="0"/>
        <condense val="0"/>
        <extend val="0"/>
        <outline val="0"/>
        <shadow val="0"/>
        <u val="none"/>
        <vertAlign val="baseline"/>
        <sz val="12"/>
        <color theme="1"/>
        <name val="Arial"/>
        <scheme val="none"/>
      </font>
      <fill>
        <patternFill patternType="solid">
          <fgColor indexed="64"/>
          <bgColor theme="7"/>
        </patternFill>
      </fill>
      <alignment horizontal="general" vertical="center" textRotation="0" wrapText="0" indent="0" justifyLastLine="0" shrinkToFit="0" readingOrder="0"/>
      <border diagonalUp="0" diagonalDown="0" outline="0">
        <left/>
        <right style="thin">
          <color auto="1"/>
        </right>
        <top/>
        <bottom/>
      </border>
    </dxf>
    <dxf>
      <border outline="0">
        <right style="thin">
          <color auto="1"/>
        </right>
      </border>
    </dxf>
    <dxf>
      <font>
        <strike val="0"/>
        <outline val="0"/>
        <shadow val="0"/>
        <u val="none"/>
        <vertAlign val="baseline"/>
        <sz val="12"/>
        <color theme="1"/>
        <name val="Arial"/>
        <scheme val="none"/>
      </font>
      <fill>
        <patternFill patternType="solid">
          <fgColor indexed="64"/>
          <bgColor theme="7"/>
        </patternFill>
      </fill>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4" formatCode="&quot;£&quot;#,##0.00"/>
      <alignment horizontal="center" textRotation="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alignment horizontal="left" textRotation="0" indent="0" justifyLastLine="0" shrinkToFit="0" readingOrder="0"/>
      <border diagonalUp="0" diagonalDown="0" outline="0">
        <left/>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numFmt numFmtId="0" formatCode="General"/>
      <border diagonalUp="0" diagonalDown="0">
        <left/>
        <right/>
        <top style="thin">
          <color auto="1"/>
        </top>
        <bottom style="thin">
          <color auto="1"/>
        </bottom>
      </border>
      <protection locked="1" hidden="0"/>
    </dxf>
    <dxf>
      <font>
        <b val="0"/>
        <i val="0"/>
        <strike val="0"/>
        <condense val="0"/>
        <extend val="0"/>
        <outline val="0"/>
        <shadow val="0"/>
        <u val="none"/>
        <vertAlign val="baseline"/>
        <sz val="11"/>
        <color theme="1"/>
        <name val="Arial"/>
        <scheme val="none"/>
      </font>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border diagonalUp="0" diagonalDown="0" outline="0">
        <left/>
        <right/>
        <top style="thin">
          <color auto="1"/>
        </top>
        <bottom style="thin">
          <color auto="1"/>
        </bottom>
      </border>
      <protection locked="0" hidden="0"/>
    </dxf>
    <dxf>
      <border outline="0">
        <top style="thin">
          <color indexed="64"/>
        </top>
      </border>
    </dxf>
    <dxf>
      <border outline="0">
        <left style="thin">
          <color auto="1"/>
        </left>
        <right style="thin">
          <color auto="1"/>
        </right>
        <top style="thin">
          <color auto="1"/>
        </top>
        <bottom style="thin">
          <color auto="1"/>
        </bottom>
      </border>
    </dxf>
    <dxf>
      <border outline="0">
        <bottom style="thin">
          <color indexed="64"/>
        </bottom>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auto="1"/>
        </left>
        <right style="thin">
          <color auto="1"/>
        </right>
        <top/>
        <bottom/>
      </border>
      <protection locked="1" hidden="0"/>
    </dxf>
    <dxf>
      <numFmt numFmtId="34" formatCode="_-&quot;£&quot;* #,##0.00_-;\-&quot;£&quot;* #,##0.00_-;_-&quot;£&quot;* &quot;-&quot;??_-;_-@_-"/>
      <fill>
        <patternFill patternType="solid">
          <fgColor indexed="64"/>
          <bgColor rgb="FFFFFF00"/>
        </patternFill>
      </fill>
    </dxf>
    <dxf>
      <numFmt numFmtId="34" formatCode="_-&quot;£&quot;* #,##0.00_-;\-&quot;£&quot;* #,##0.00_-;_-&quot;£&quot;* &quot;-&quot;??_-;_-@_-"/>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protection locked="0" hidden="0"/>
    </dxf>
    <dxf>
      <border>
        <bottom style="thin">
          <color indexed="64"/>
        </bottom>
      </border>
    </dxf>
    <dxf>
      <font>
        <strike val="0"/>
        <outline val="0"/>
        <shadow val="0"/>
        <u val="none"/>
        <vertAlign val="baseline"/>
        <sz val="11"/>
        <color auto="1"/>
        <name val="Calibri"/>
        <scheme val="minor"/>
      </font>
      <fill>
        <patternFill patternType="solid">
          <fgColor indexed="64"/>
          <bgColor theme="0"/>
        </patternFill>
      </fill>
      <alignment horizontal="general"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border diagonalUp="0" diagonalDown="0" outline="0">
        <left style="thin">
          <color auto="1"/>
        </left>
        <right style="thin">
          <color auto="1"/>
        </right>
        <top/>
        <bottom/>
      </border>
      <protection locked="0" hidden="0"/>
    </dxf>
    <dxf>
      <border outline="0">
        <left style="thin">
          <color auto="1"/>
        </left>
      </border>
      <protection locked="0" hidden="0"/>
    </dxf>
    <dxf>
      <numFmt numFmtId="34" formatCode="_-&quot;£&quot;* #,##0.00_-;\-&quot;£&quot;* #,##0.00_-;_-&quot;£&quot;* &quot;-&quot;??_-;_-@_-"/>
      <fill>
        <patternFill patternType="solid">
          <fgColor indexed="64"/>
          <bgColor rgb="FFFFFF0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numFmt numFmtId="34" formatCode="_-&quot;£&quot;* #,##0.00_-;\-&quot;£&quot;* #,##0.00_-;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34" formatCode="_-&quot;£&quot;* #,##0.00_-;\-&quot;£&quot;* #,##0.00_-;_-&quot;£&quot;* &quot;-&quot;??_-;_-@_-"/>
      <fill>
        <patternFill patternType="solid">
          <fgColor indexed="64"/>
          <bgColor rgb="FFFFFF00"/>
        </patternFill>
      </fill>
      <border diagonalUp="0" diagonalDown="0" outline="0">
        <left style="thin">
          <color auto="1"/>
        </left>
        <right style="thin">
          <color auto="1"/>
        </right>
        <top style="thin">
          <color auto="1"/>
        </top>
        <bottom style="thin">
          <color auto="1"/>
        </bottom>
      </border>
      <protection locked="1" hidden="0"/>
    </dxf>
    <dxf>
      <numFmt numFmtId="34" formatCode="_-&quot;£&quot;* #,##0.00_-;\-&quot;£&quot;* #,##0.00_-;_-&quot;£&quot;* &quot;-&quot;??_-;_-@_-"/>
      <border diagonalUp="0" diagonalDown="0">
        <left style="thin">
          <color auto="1"/>
        </left>
        <right style="thin">
          <color auto="1"/>
        </right>
        <top style="thin">
          <color indexed="64"/>
        </top>
        <bottom style="thin">
          <color indexed="64"/>
        </bottom>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numFmt numFmtId="165" formatCode="&quot;£&quot;#,##0"/>
      <border diagonalUp="0" diagonalDown="0">
        <left style="thin">
          <color auto="1"/>
        </left>
        <right style="thin">
          <color auto="1"/>
        </right>
        <top style="thin">
          <color auto="1"/>
        </top>
        <bottom style="thin">
          <color auto="1"/>
        </bottom>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numFmt numFmtId="34" formatCode="_-&quot;£&quot;* #,##0.00_-;\-&quot;£&quot;* #,##0.00_-;_-&quot;£&quot;* &quot;-&quot;??_-;_-@_-"/>
      <border diagonalUp="0" diagonalDown="0">
        <left style="thin">
          <color auto="1"/>
        </left>
        <right style="thin">
          <color auto="1"/>
        </right>
        <top style="thin">
          <color auto="1"/>
        </top>
        <bottom style="thin">
          <color auto="1"/>
        </bottom>
        <vertical/>
        <horizontal/>
      </border>
      <protection locked="0" hidden="0"/>
    </dxf>
    <dxf>
      <fill>
        <patternFill patternType="solid">
          <fgColor indexed="64"/>
          <bgColor rgb="FFFFFF00"/>
        </patternFill>
      </fill>
      <border diagonalUp="0" diagonalDown="0" outline="0">
        <left style="thin">
          <color auto="1"/>
        </left>
        <right style="thin">
          <color auto="1"/>
        </right>
        <top/>
        <bottom/>
      </border>
      <protection locked="1" hidden="0"/>
    </dxf>
    <dxf>
      <numFmt numFmtId="165" formatCode="&quot;£&quot;#,##0"/>
      <border diagonalUp="0" diagonalDown="0">
        <left style="thin">
          <color auto="1"/>
        </left>
        <right style="thin">
          <color auto="1"/>
        </right>
        <top style="thin">
          <color auto="1"/>
        </top>
        <bottom style="thin">
          <color auto="1"/>
        </bottom>
      </border>
      <protection locked="1" hidden="0"/>
    </dxf>
    <dxf>
      <fill>
        <patternFill patternType="solid">
          <fgColor indexed="64"/>
          <bgColor rgb="FFFFFF00"/>
        </patternFill>
      </fill>
      <border diagonalUp="0" diagonalDown="0" outline="0">
        <left style="thin">
          <color auto="1"/>
        </left>
        <right style="thin">
          <color auto="1"/>
        </right>
        <top style="thin">
          <color auto="1"/>
        </top>
        <bottom style="thin">
          <color auto="1"/>
        </bottom>
      </border>
      <protection locked="1" hidden="0"/>
    </dxf>
    <dxf>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solid">
          <fgColor indexed="64"/>
          <bgColor rgb="FFFFFF00"/>
        </patternFill>
      </fill>
      <border diagonalUp="0" diagonalDown="0" outline="0">
        <left style="thin">
          <color auto="1"/>
        </left>
        <right style="thin">
          <color auto="1"/>
        </right>
        <top style="thin">
          <color auto="1"/>
        </top>
        <bottom style="thin">
          <color auto="1"/>
        </bottom>
      </border>
      <protection locked="1" hidden="0"/>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numFmt numFmtId="1" formatCode="0"/>
      <border diagonalUp="0" diagonalDown="0">
        <left style="thin">
          <color auto="1"/>
        </left>
        <right style="thin">
          <color auto="1"/>
        </right>
        <top style="thin">
          <color auto="1"/>
        </top>
        <bottom style="thin">
          <color auto="1"/>
        </bottom>
        <vertical/>
        <horizontal/>
      </border>
      <protection locked="1" hidden="0"/>
    </dxf>
    <dxf>
      <fill>
        <patternFill patternType="solid">
          <fgColor indexed="64"/>
          <bgColor rgb="FFFFFF00"/>
        </patternFill>
      </fill>
      <border diagonalUp="0" diagonalDown="0" outline="0">
        <left style="thin">
          <color auto="1"/>
        </left>
        <right style="thin">
          <color auto="1"/>
        </right>
        <top/>
        <bottom/>
      </border>
      <protection locked="1" hidden="0"/>
    </dxf>
    <dxf>
      <border diagonalUp="0" diagonalDown="0">
        <left style="thin">
          <color auto="1"/>
        </left>
        <right style="thin">
          <color auto="1"/>
        </right>
        <top style="thin">
          <color auto="1"/>
        </top>
        <bottom style="thin">
          <color auto="1"/>
        </bottom>
        <vertical/>
        <horizontal/>
      </border>
      <protection locked="0" hidden="0"/>
    </dxf>
    <dxf>
      <fill>
        <patternFill patternType="solid">
          <fgColor indexed="64"/>
          <bgColor rgb="FFFFFF00"/>
        </patternFill>
      </fill>
      <border diagonalUp="0" diagonalDown="0" outline="0">
        <left style="thin">
          <color auto="1"/>
        </left>
        <right style="thin">
          <color auto="1"/>
        </right>
        <top/>
        <bottom/>
      </border>
      <protection locked="1" hidden="0"/>
    </dxf>
    <dxf>
      <border diagonalUp="0" diagonalDown="0">
        <left style="thin">
          <color auto="1"/>
        </left>
        <right style="thin">
          <color auto="1"/>
        </right>
        <top style="thin">
          <color auto="1"/>
        </top>
        <bottom style="thin">
          <color auto="1"/>
        </bottom>
      </border>
      <protection locked="0" hidden="0"/>
    </dxf>
    <dxf>
      <fill>
        <patternFill patternType="solid">
          <fgColor indexed="64"/>
          <bgColor rgb="FFFFFF00"/>
        </patternFill>
      </fill>
      <border diagonalUp="0" diagonalDown="0" outline="0">
        <left style="thin">
          <color auto="1"/>
        </left>
        <right style="thin">
          <color auto="1"/>
        </right>
        <top/>
        <bottom/>
      </border>
      <protection locked="1" hidden="0"/>
    </dxf>
    <dxf>
      <numFmt numFmtId="166" formatCode="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6" formatCode="0.0"/>
      <fill>
        <patternFill patternType="solid">
          <fgColor indexed="64"/>
          <bgColor rgb="FFFFFF00"/>
        </patternFill>
      </fill>
      <border diagonalUp="0" diagonalDown="0" outline="0">
        <left style="thin">
          <color auto="1"/>
        </left>
        <right style="thin">
          <color auto="1"/>
        </right>
        <top/>
        <bottom/>
      </border>
      <protection locked="1" hidden="0"/>
    </dxf>
    <dxf>
      <numFmt numFmtId="166" formatCode="0.0"/>
      <alignment horizontal="center" vertical="bottom" textRotation="0" wrapText="0" indent="0" justifyLastLine="0" shrinkToFit="0" readingOrder="0"/>
      <border diagonalUp="0" diagonalDown="0">
        <left/>
        <right style="thin">
          <color auto="1"/>
        </right>
        <top style="thin">
          <color auto="1"/>
        </top>
        <bottom style="thin">
          <color auto="1"/>
        </bottom>
      </border>
      <protection locked="0" hidden="0"/>
    </dxf>
    <dxf>
      <fill>
        <patternFill patternType="solid">
          <fgColor indexed="64"/>
          <bgColor rgb="FFFFFF0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scheme val="minor"/>
      </font>
      <border diagonalUp="0" diagonalDown="0">
        <left style="thin">
          <color auto="1"/>
        </left>
        <right style="thin">
          <color auto="1"/>
        </right>
        <top style="thin">
          <color auto="1"/>
        </top>
        <bottom style="thin">
          <color auto="1"/>
        </bottom>
      </border>
      <protection locked="0" hidden="0"/>
    </dxf>
    <dxf>
      <fill>
        <patternFill patternType="solid">
          <fgColor indexed="64"/>
          <bgColor rgb="FFFFFF00"/>
        </patternFill>
      </fill>
      <border diagonalUp="0" diagonalDown="0" outline="0">
        <left style="thin">
          <color auto="1"/>
        </left>
        <right style="thin">
          <color auto="1"/>
        </right>
        <top/>
        <bottom/>
      </border>
      <protection locked="1" hidden="0"/>
    </dxf>
    <dxf>
      <font>
        <b/>
      </font>
      <border diagonalUp="0" diagonalDown="0">
        <left style="thin">
          <color auto="1"/>
        </left>
        <right/>
        <top style="thin">
          <color auto="1"/>
        </top>
        <bottom style="thin">
          <color auto="1"/>
        </bottom>
      </border>
      <protection locked="0" hidden="0"/>
    </dxf>
    <dxf>
      <fill>
        <patternFill patternType="solid">
          <fgColor indexed="64"/>
          <bgColor rgb="FFFFFF00"/>
        </patternFill>
      </fill>
    </dxf>
    <dxf>
      <font>
        <b/>
        <i val="0"/>
        <strike val="0"/>
        <condense val="0"/>
        <extend val="0"/>
        <outline val="0"/>
        <shadow val="0"/>
        <u val="none"/>
        <vertAlign val="baseline"/>
        <sz val="11"/>
        <color theme="1"/>
        <name val="Calibri"/>
        <scheme val="minor"/>
      </font>
      <numFmt numFmtId="164" formatCode="&quot;£&quot;#,##0.00"/>
      <alignment horizontal="left" vertical="top" textRotation="0" wrapText="1" indent="0" justifyLastLine="0" shrinkToFit="0" readingOrder="0"/>
      <border diagonalUp="0" diagonalDown="0">
        <left style="thin">
          <color auto="1"/>
        </left>
        <right style="thin">
          <color auto="1"/>
        </right>
        <top/>
        <bottom/>
      </border>
      <protection locked="1" hidden="0"/>
    </dxf>
    <dxf>
      <border outline="0">
        <left style="thin">
          <color auto="1"/>
        </left>
      </border>
    </dxf>
    <dxf>
      <numFmt numFmtId="34" formatCode="_-&quot;£&quot;* #,##0.00_-;\-&quot;£&quot;* #,##0.00_-;_-&quot;£&quot;* &quot;-&quot;??_-;_-@_-"/>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numFmt numFmtId="34" formatCode="_-&quot;£&quot;* #,##0.00_-;\-&quot;£&quot;* #,##0.00_-;_-&quot;£&quot;* &quot;-&quot;??_-;_-@_-"/>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numFmt numFmtId="34" formatCode="_-&quot;£&quot;* #,##0.00_-;\-&quot;£&quot;* #,##0.00_-;_-&quot;£&quot;* &quot;-&quot;??_-;_-@_-"/>
      <border diagonalUp="0" diagonalDown="0">
        <left style="thin">
          <color auto="1"/>
        </left>
        <right style="thin">
          <color auto="1"/>
        </right>
        <top style="thin">
          <color auto="1"/>
        </top>
        <bottom style="thin">
          <color auto="1"/>
        </bottom>
      </border>
      <protection locked="1" hidden="0"/>
    </dxf>
    <dxf>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0" hidden="0"/>
    </dxf>
    <dxf>
      <numFmt numFmtId="166" formatCode="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outline="0">
        <left/>
        <right style="thin">
          <color auto="1"/>
        </right>
        <top style="thin">
          <color auto="1"/>
        </top>
        <bottom style="thin">
          <color auto="1"/>
        </bottom>
      </border>
      <protection locked="0" hidden="0"/>
    </dxf>
    <dxf>
      <fill>
        <patternFill patternType="solid">
          <fgColor indexed="64"/>
          <bgColor rgb="FFFFFF00"/>
        </patternFill>
      </fill>
    </dxf>
    <dxf>
      <border outline="0">
        <left style="thin">
          <color auto="1"/>
        </left>
        <right style="thin">
          <color auto="1"/>
        </right>
      </border>
    </dxf>
    <dxf>
      <protection locked="1" hidden="0"/>
    </dxf>
    <dxf>
      <font>
        <b/>
        <i val="0"/>
        <strike val="0"/>
        <condense val="0"/>
        <extend val="0"/>
        <outline val="0"/>
        <shadow val="0"/>
        <u val="none"/>
        <vertAlign val="baseline"/>
        <sz val="11"/>
        <color theme="1"/>
        <name val="Calibri"/>
        <scheme val="minor"/>
      </font>
      <numFmt numFmtId="164" formatCode="&quot;£&quot;#,##0.00"/>
      <alignment horizontal="left" vertical="top" textRotation="0" wrapText="1" indent="0" justifyLastLine="0" shrinkToFit="0" readingOrder="0"/>
      <border diagonalUp="0" diagonalDown="0">
        <left style="thin">
          <color auto="1"/>
        </left>
        <right style="thin">
          <color auto="1"/>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2" name="Table2" displayName="Table2" ref="A17:M29" totalsRowCount="1" headerRowDxfId="155" dataDxfId="154" totalsRowDxfId="152" tableBorderDxfId="153">
  <tableColumns count="13">
    <tableColumn id="1" name="Post Designation" totalsRowLabel="Totals" dataDxfId="151" totalsRowDxfId="12"/>
    <tableColumn id="2" name="Area of Focus" dataDxfId="150" totalsRowDxfId="11"/>
    <tableColumn id="3" name="Hours Per Week " dataDxfId="149" totalsRowDxfId="10"/>
    <tableColumn id="7" name="FTE" dataDxfId="148" totalsRowDxfId="9">
      <calculatedColumnFormula>IFERROR(IF(A18="","",IF(C18="","",IFERROR(C18/VLOOKUP(A18,Lookups!A:D,4,0),0))),"")</calculatedColumnFormula>
    </tableColumn>
    <tableColumn id="4" name="Start Date_x000a_(dd/mm/yyyy)" dataDxfId="147" totalsRowDxfId="8"/>
    <tableColumn id="5" name="Projected End Date_x000a_(MUST BE ON OR BEFORE END OF ACADEMIC SESSION)_x000a_(dd/mm/yyyy)" dataDxfId="146" totalsRowDxfId="7"/>
    <tableColumn id="6" name="Days " dataDxfId="145" totalsRowDxfId="6">
      <calculatedColumnFormula>IFERROR(IF(OR(E18="",F18=""),"",INT(F18-E18+1)),"")</calculatedColumnFormula>
    </tableColumn>
    <tableColumn id="10" name="# Days to End of Financial Year (Or # Days if End Date is Before End of Financial Year)" dataDxfId="144" totalsRowDxfId="5">
      <calculatedColumnFormula>IF(OR(E18="",F18=""),"",IF(AND(E18&lt;='Setup &amp; Overview'!$B$20,F18&lt;='Setup &amp; Overview'!$B$20),INT(F18-E18+1),IF(AND(E18&lt;='Setup &amp; Overview'!$B$20,F18&gt;='Setup &amp; Overview'!$B$25),INT('Setup &amp; Overview'!$B$20-E18+1),"-")))</calculatedColumnFormula>
    </tableColumn>
    <tableColumn id="11" name="# Days Within Next Financial Year to End of Academic Session" dataDxfId="143" totalsRowDxfId="4">
      <calculatedColumnFormula>IF(OR(E18="",F18=""),"",IF(E18&gt;'Setup &amp; Overview'!$B$25,INT(F18-E18+1),IF(F18&gt;='Setup &amp; Overview'!$B$25,INT(F18-'Setup &amp; Overview'!$B$25+1),"-")))</calculatedColumnFormula>
    </tableColumn>
    <tableColumn id="8" name="Annual Salary_x000a_Including On Costs" dataDxfId="142" totalsRowDxfId="3">
      <calculatedColumnFormula>IFERROR(VLOOKUP(A18,Lookups!A:B,2,0),"")</calculatedColumnFormula>
    </tableColumn>
    <tableColumn id="15" name="Current Financial Year Spend" totalsRowFunction="sum" dataDxfId="141" totalsRowDxfId="2">
      <calculatedColumnFormula>IFERROR(IF(OR(E18="",F18=""),"",IF(H18&gt;365,365,H18)/365*J18*D18),"")</calculatedColumnFormula>
    </tableColumn>
    <tableColumn id="16" name="Academic Year Spend" totalsRowFunction="sum" dataDxfId="140" totalsRowDxfId="1">
      <calculatedColumnFormula>IFERROR(IF(OR(E18="",F18=""),"",IFERROR(I18/365*J18*D18*(1+'Setup &amp; Overview'!$B$31),"-")),"")</calculatedColumnFormula>
    </tableColumn>
    <tableColumn id="18" name="Staff Member_x000a_(INITIALS ONLY)" dataDxfId="139" totalsRowDxfId="0"/>
  </tableColumns>
  <tableStyleInfo name="TableStyleLight1" showFirstColumn="0" showLastColumn="0" showRowStripes="1" showColumnStripes="0"/>
</table>
</file>

<file path=xl/tables/table2.xml><?xml version="1.0" encoding="utf-8"?>
<table xmlns="http://schemas.openxmlformats.org/spreadsheetml/2006/main" id="3" name="Table3" displayName="Table3" ref="A2:O14" totalsRowCount="1" headerRowDxfId="138" totalsRowDxfId="137">
  <tableColumns count="15">
    <tableColumn id="1" name="Post Designation " totalsRowLabel="Total" dataDxfId="136" totalsRowDxfId="135"/>
    <tableColumn id="15" name="Area of Focus" dataDxfId="134" totalsRowDxfId="133"/>
    <tableColumn id="2" name="Hours per Week" dataDxfId="132" totalsRowDxfId="131"/>
    <tableColumn id="6" name="FTE" dataDxfId="130" totalsRowDxfId="129">
      <calculatedColumnFormula>IFERROR(IF(A3="","",IF(C3="","",C3/35)),"")</calculatedColumnFormula>
    </tableColumn>
    <tableColumn id="3" name="Start Date_x000a_(dd/mm/yyyy)" dataDxfId="128" totalsRowDxfId="127"/>
    <tableColumn id="4" name="Projected End Date_x000a_(MUST BE ON OR BEFORE END OF ACADEMIC SESSION)_x000a_(dd/mm/yyyy)" dataDxfId="126" totalsRowDxfId="125"/>
    <tableColumn id="5" name="Days " dataDxfId="124" totalsRowDxfId="123">
      <calculatedColumnFormula>IFERROR(IF(OR(E3="",F3=""),"",INT(F3-E3+1)),"")</calculatedColumnFormula>
    </tableColumn>
    <tableColumn id="11" name="# Days to End of Financial Year (Or # Days if End Date is Before End of Financial Year)" dataDxfId="122" totalsRowDxfId="121">
      <calculatedColumnFormula>IF(OR(E3="",F3=""),"",IF(AND(E3&lt;='Setup &amp; Overview'!$B$20,F3&lt;='Setup &amp; Overview'!$B$20),INT(F3-E3+1),IF(AND(E3&lt;='Setup &amp; Overview'!$B$20,F3&gt;='Setup &amp; Overview'!$B$25),INT('Setup &amp; Overview'!$B$20-E3+1),"-")))</calculatedColumnFormula>
    </tableColumn>
    <tableColumn id="12" name="# Days Within Next Financial Year to End of Academic Session" dataDxfId="120" totalsRowDxfId="119">
      <calculatedColumnFormula>IF(OR(E3="",F3=""),"",IF(E3&gt;'Setup &amp; Overview'!$B$25,INT(F3-E3+1),IF(F3&gt;='Setup &amp; Overview'!$B$25,INT(F3-'Setup &amp; Overview'!$B$25+1),"-")))</calculatedColumnFormula>
    </tableColumn>
    <tableColumn id="7" name="Annual Salary_x000a_Including On Costs" dataDxfId="118" totalsRowDxfId="117">
      <calculatedColumnFormula>IFERROR(VLOOKUP(A3,Lookups!A:B,2,0),"")</calculatedColumnFormula>
    </tableColumn>
    <tableColumn id="8" name="If Enhancement, Please Select_x000a_Staff Member's Substantive Post" dataDxfId="116" totalsRowDxfId="115"/>
    <tableColumn id="9" name="Enhancement Costs_x000a__x000a_(Substantive Post Must Be Selected in Previous Column)" dataDxfId="114" totalsRowDxfId="113">
      <calculatedColumnFormula>IFERROR(VLOOKUP(A3,Lookups!A:C,3,0),"")</calculatedColumnFormula>
    </tableColumn>
    <tableColumn id="13" name="Current Financial Year Spend" totalsRowFunction="sum" dataDxfId="112" totalsRowDxfId="111">
      <calculatedColumnFormula>IFERROR(IF(OR(E3="",F3=""),"",SUM(IF(H3&gt;365,365,H3)/365*J3*D3,IF(H3&gt;365,365,H3)/365*L3*D3)),"")</calculatedColumnFormula>
    </tableColumn>
    <tableColumn id="14" name="Academic Year Spend" totalsRowFunction="sum" dataDxfId="110" totalsRowDxfId="109">
      <calculatedColumnFormula>IFERROR(IF(OR(E3="",F3=""),"",IFERROR(SUM(I3/365*J3*D3*(1+'Setup &amp; Overview'!$B$31),(I3/365*L3*D3*(1+'Setup &amp; Overview'!$B$31))),"-")),"")</calculatedColumnFormula>
    </tableColumn>
    <tableColumn id="20" name="Staff Member_x000a_(INITIALS ONLY)" dataDxfId="108" totalsRowDxfId="107"/>
  </tableColumns>
  <tableStyleInfo name="TableStyleLight1" showFirstColumn="0" showLastColumn="0" showRowStripes="1" showColumnStripes="0"/>
</table>
</file>

<file path=xl/tables/table3.xml><?xml version="1.0" encoding="utf-8"?>
<table xmlns="http://schemas.openxmlformats.org/spreadsheetml/2006/main" id="1" name="Table1" displayName="Table1" ref="A1:F30" totalsRowCount="1" headerRowDxfId="106" dataDxfId="104" totalsRowDxfId="103" headerRowBorderDxfId="105">
  <tableColumns count="6">
    <tableColumn id="1" name="Staff Member (INITIALS ONLY)" totalsRowLabel="Total" totalsRowDxfId="102"/>
    <tableColumn id="2" name="Teaching / Non-Teaching" totalsRowDxfId="101"/>
    <tableColumn id="6" name="Area of Focus" totalsRowDxfId="100"/>
    <tableColumn id="3" name="Reason for Manual Entry" totalsRowDxfId="99"/>
    <tableColumn id="4" name="Current Financial Year Spend" totalsRowFunction="sum" totalsRowDxfId="98"/>
    <tableColumn id="5" name="Academic Year Spend (From Previous Year Carry Forward)" totalsRowFunction="sum" totalsRowDxfId="97"/>
  </tableColumns>
  <tableStyleInfo name="TableStyleLight15" showFirstColumn="0" showLastColumn="0" showRowStripes="1" showColumnStripes="0"/>
</table>
</file>

<file path=xl/tables/table4.xml><?xml version="1.0" encoding="utf-8"?>
<table xmlns="http://schemas.openxmlformats.org/spreadsheetml/2006/main" id="4" name="Table4" displayName="Table4" ref="A2:F25" totalsRowShown="0" headerRowDxfId="96" headerRowBorderDxfId="95" tableBorderDxfId="94" totalsRowBorderDxfId="93">
  <autoFilter ref="A2:F25">
    <filterColumn colId="0" hiddenButton="1"/>
    <filterColumn colId="1" hiddenButton="1"/>
    <filterColumn colId="2" hiddenButton="1"/>
    <filterColumn colId="3" hiddenButton="1"/>
    <filterColumn colId="4" hiddenButton="1"/>
    <filterColumn colId="5" hiddenButton="1"/>
  </autoFilter>
  <tableColumns count="6">
    <tableColumn id="1" name="Purchase Type " dataDxfId="92"/>
    <tableColumn id="6" name="Area of Focus" dataDxfId="91"/>
    <tableColumn id="2" name="Detail Code" dataDxfId="90">
      <calculatedColumnFormula>IFERROR(VLOOKUP(A3,Lookups!J:M,4,FALSE),"")</calculatedColumnFormula>
    </tableColumn>
    <tableColumn id="3" name="Product / Info" dataDxfId="89"/>
    <tableColumn id="4" name="Supplier" dataDxfId="88"/>
    <tableColumn id="5" name="Forecast Spend " dataDxfId="87"/>
  </tableColumns>
  <tableStyleInfo name="TableStyleLight1" showFirstColumn="0" showLastColumn="0" showRowStripes="1" showColumnStripes="0"/>
</table>
</file>

<file path=xl/tables/table5.xml><?xml version="1.0" encoding="utf-8"?>
<table xmlns="http://schemas.openxmlformats.org/spreadsheetml/2006/main" id="7" name="Table7" displayName="Table7" ref="A1:G16" totalsRowCount="1" headerRowDxfId="86" dataDxfId="84" totalsRowDxfId="82" headerRowBorderDxfId="85" tableBorderDxfId="83" dataCellStyle="Currency">
  <tableColumns count="7">
    <tableColumn id="1" name="DETAIL CODES_x000a_Description" totalsRowLabel="Total" dataDxfId="81" totalsRowDxfId="80">
      <calculatedColumnFormula>IF('Purchases &amp; Projected Spend'!A3="","",'Purchases &amp; Projected Spend'!A3)</calculatedColumnFormula>
    </tableColumn>
    <tableColumn id="2" name="Detail Code" dataDxfId="79" totalsRowDxfId="78"/>
    <tableColumn id="4" name="Planned Spend" totalsRowFunction="sum" dataDxfId="77" totalsRowDxfId="76">
      <calculatedColumnFormula>SUMPRODUCT(SUMIF('Purchases &amp; Projected Spend'!$A$3:$A$25,B2&amp;" - "&amp;A2,'Purchases &amp; Projected Spend'!$F$3:$F$25))</calculatedColumnFormula>
    </tableColumn>
    <tableColumn id="5" name="Spent" totalsRowFunction="sum" dataDxfId="75" totalsRowDxfId="74" dataCellStyle="Currency"/>
    <tableColumn id="6" name="PECOS_x000a_Commitments" totalsRowFunction="sum" dataDxfId="73" totalsRowDxfId="72" dataCellStyle="Currency"/>
    <tableColumn id="3" name="Resources_x000a_Commitment" totalsRowFunction="sum" dataDxfId="71" totalsRowDxfId="70" dataCellStyle="Currency"/>
    <tableColumn id="10" name="Projected Variance" totalsRowFunction="sum" dataDxfId="69" totalsRowDxfId="68" dataCellStyle="Currency">
      <calculatedColumnFormula>IFERROR(IF(C2="","",C2-D2-E2-F2),"-")</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8" name="Table8" displayName="Table8" ref="A18:H30" totalsRowCount="1" headerRowDxfId="67" dataDxfId="65" totalsRowDxfId="63" headerRowBorderDxfId="66" tableBorderDxfId="64" dataCellStyle="Currency">
  <tableColumns count="8">
    <tableColumn id="1" name="STAFFING (TEACHING)" totalsRowLabel="Total" totalsRowDxfId="62">
      <calculatedColumnFormula>IF('Staffing Projection'!A3="","",'Staffing Projection'!A3)</calculatedColumnFormula>
    </tableColumn>
    <tableColumn id="4" name="Planned Spend (Current_x000a_Financial Year)" totalsRowFunction="sum" dataDxfId="61" totalsRowDxfId="60">
      <calculatedColumnFormula>IF('Staffing Projection'!M3="","",'Staffing Projection'!M3)</calculatedColumnFormula>
    </tableColumn>
    <tableColumn id="12" name="Planned Spend (Next_x000a_Financial Year)" totalsRowFunction="sum" dataDxfId="59" totalsRowDxfId="58">
      <calculatedColumnFormula>IF('Staffing Projection'!N3="","",'Staffing Projection'!N3)</calculatedColumnFormula>
    </tableColumn>
    <tableColumn id="5" name="Actual Spend" totalsRowFunction="sum" dataDxfId="57" totalsRowDxfId="56" dataCellStyle="Currency"/>
    <tableColumn id="7" name="Payroll Commitment_x000a_(Current Financial Year)" totalsRowFunction="sum" dataDxfId="55" totalsRowDxfId="54" dataCellStyle="Currency"/>
    <tableColumn id="8" name="Payroll Commitment_x000a_(Next Financial Year)" totalsRowFunction="sum" dataDxfId="53" totalsRowDxfId="52" dataCellStyle="Currency"/>
    <tableColumn id="10" name="Projected_x000a_Variance" totalsRowFunction="sum" dataDxfId="51" totalsRowDxfId="50" dataCellStyle="Currency">
      <calculatedColumnFormula>IFERROR(IF(A19="","",SUM(B19:C19)-D19-E19-F19),"-")</calculatedColumnFormula>
    </tableColumn>
    <tableColumn id="2" name="Staff Member" dataDxfId="49" totalsRowDxfId="48" dataCellStyle="Currency">
      <calculatedColumnFormula>IF('Staffing Projection'!O3="","",'Staffing Projection'!O3)</calculatedColumnFormula>
    </tableColumn>
  </tableColumns>
  <tableStyleInfo name="TableStyleLight1" showFirstColumn="0" showLastColumn="0" showRowStripes="1" showColumnStripes="0"/>
</table>
</file>

<file path=xl/tables/table7.xml><?xml version="1.0" encoding="utf-8"?>
<table xmlns="http://schemas.openxmlformats.org/spreadsheetml/2006/main" id="9" name="Table810" displayName="Table810" ref="A32:H44" totalsRowCount="1" headerRowDxfId="47" dataDxfId="45" totalsRowDxfId="43" headerRowBorderDxfId="46" tableBorderDxfId="44" dataCellStyle="Currency">
  <tableColumns count="8">
    <tableColumn id="1" name="STAFFING (NON-TEACHING)" totalsRowLabel="Total" dataDxfId="42" totalsRowDxfId="41">
      <calculatedColumnFormula>IF('Staffing Projection'!A18="","",'Staffing Projection'!A18)</calculatedColumnFormula>
    </tableColumn>
    <tableColumn id="4" name="Planned Spend (Current_x000a_Financial Year)" totalsRowFunction="sum" dataDxfId="40" totalsRowDxfId="39">
      <calculatedColumnFormula>IF('Staffing Projection'!K18="","",'Staffing Projection'!K18)</calculatedColumnFormula>
    </tableColumn>
    <tableColumn id="12" name="Planned Spend (Next_x000a_Financial Year)" totalsRowFunction="sum" dataDxfId="38" totalsRowDxfId="37">
      <calculatedColumnFormula>IF('Staffing Projection'!L18="","",'Staffing Projection'!L18)</calculatedColumnFormula>
    </tableColumn>
    <tableColumn id="5" name="Actual Spend" totalsRowFunction="sum" dataDxfId="36" totalsRowDxfId="35" dataCellStyle="Currency"/>
    <tableColumn id="7" name="Payroll Commitment_x000a_(Current Financial Year)" totalsRowFunction="sum" dataDxfId="34" totalsRowDxfId="33" dataCellStyle="Currency"/>
    <tableColumn id="8" name="Payroll Commitment_x000a_(Next Financial Year)" totalsRowFunction="sum" dataDxfId="32" totalsRowDxfId="31" dataCellStyle="Currency"/>
    <tableColumn id="10" name="Projected_x000a_Variance" totalsRowFunction="sum" dataDxfId="30" totalsRowDxfId="29" dataCellStyle="Currency">
      <calculatedColumnFormula>IFERROR(IF(A33="","",SUM(B33:C33)-D33-E33-F33),"-")</calculatedColumnFormula>
    </tableColumn>
    <tableColumn id="2" name="Staff Member" dataDxfId="28" totalsRowDxfId="27" dataCellStyle="Currency">
      <calculatedColumnFormula>IF('Staffing Projection'!M18="","",'Staffing Projection'!M18)</calculatedColumnFormula>
    </tableColumn>
  </tableColumns>
  <tableStyleInfo name="TableStyleLight1" showFirstColumn="0" showLastColumn="0" showRowStripes="1" showColumnStripes="0"/>
</table>
</file>

<file path=xl/tables/table8.xml><?xml version="1.0" encoding="utf-8"?>
<table xmlns="http://schemas.openxmlformats.org/spreadsheetml/2006/main" id="5" name="Table5" displayName="Table5" ref="F1:F21" totalsRowShown="0" headerRowDxfId="26" dataDxfId="25">
  <autoFilter ref="F1:F21"/>
  <sortState ref="F2:F20">
    <sortCondition ref="F1:F20"/>
  </sortState>
  <tableColumns count="1">
    <tableColumn id="1" name="Area of Focus" dataDxfId="24"/>
  </tableColumns>
  <tableStyleInfo name="TableStyleMedium2" showFirstColumn="0" showLastColumn="0" showRowStripes="1" showColumnStripes="0"/>
</table>
</file>

<file path=xl/tables/table9.xml><?xml version="1.0" encoding="utf-8"?>
<table xmlns="http://schemas.openxmlformats.org/spreadsheetml/2006/main" id="6" name="Table6" displayName="Table6" ref="H1:H53" totalsRowShown="0" headerRowDxfId="23" dataDxfId="22">
  <autoFilter ref="H1:H53"/>
  <sortState ref="H2:H54">
    <sortCondition ref="H1:H54"/>
  </sortState>
  <tableColumns count="1">
    <tableColumn id="1" name="School" dataDxfId="21"/>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tabSelected="1" zoomScale="85" zoomScaleNormal="85" workbookViewId="0">
      <selection sqref="A1:A2"/>
    </sheetView>
  </sheetViews>
  <sheetFormatPr defaultColWidth="0" defaultRowHeight="14.4" zeroHeight="1" x14ac:dyDescent="0.3"/>
  <cols>
    <col min="1" max="1" width="51" bestFit="1" customWidth="1"/>
    <col min="2" max="2" width="15.77734375" customWidth="1"/>
    <col min="3" max="3" width="8.88671875" customWidth="1"/>
    <col min="4" max="4" width="24.33203125" bestFit="1" customWidth="1"/>
    <col min="5" max="5" width="19.5546875" bestFit="1" customWidth="1"/>
    <col min="6" max="10" width="18.77734375" customWidth="1"/>
    <col min="11" max="11" width="8.88671875" customWidth="1"/>
    <col min="12" max="16384" width="8.88671875" hidden="1"/>
  </cols>
  <sheetData>
    <row r="1" spans="1:10" x14ac:dyDescent="0.3">
      <c r="A1" s="204" t="s">
        <v>89</v>
      </c>
      <c r="B1" s="205" t="s">
        <v>250</v>
      </c>
      <c r="C1" s="205"/>
      <c r="D1" s="205"/>
      <c r="G1" s="212" t="s">
        <v>248</v>
      </c>
      <c r="H1" s="212"/>
      <c r="I1" s="212"/>
      <c r="J1" s="203"/>
    </row>
    <row r="2" spans="1:10" x14ac:dyDescent="0.3">
      <c r="A2" s="204"/>
      <c r="B2" s="205"/>
      <c r="C2" s="205"/>
      <c r="D2" s="205"/>
      <c r="F2" s="203"/>
      <c r="G2" s="212"/>
      <c r="H2" s="212"/>
      <c r="I2" s="212"/>
      <c r="J2" s="203"/>
    </row>
    <row r="3" spans="1:10" x14ac:dyDescent="0.3">
      <c r="A3" s="141"/>
      <c r="B3" s="141"/>
      <c r="C3" s="10"/>
      <c r="D3" s="10"/>
      <c r="E3" s="10"/>
      <c r="I3" s="10"/>
    </row>
    <row r="4" spans="1:10" ht="15" customHeight="1" x14ac:dyDescent="0.3">
      <c r="A4" s="207" t="s">
        <v>184</v>
      </c>
      <c r="B4" s="208"/>
      <c r="C4" s="136"/>
      <c r="D4" s="85"/>
    </row>
    <row r="5" spans="1:10" ht="15" customHeight="1" x14ac:dyDescent="0.3">
      <c r="A5" s="134"/>
      <c r="B5" s="142"/>
      <c r="C5" s="136"/>
      <c r="D5" s="10"/>
    </row>
    <row r="6" spans="1:10" ht="15" customHeight="1" x14ac:dyDescent="0.3">
      <c r="A6" s="138" t="str">
        <f>"Previous financial year"&amp;" "&amp;"("&amp;B22&amp;")"&amp;" carry forward:"</f>
        <v>Previous financial year (2022/23) carry forward:</v>
      </c>
      <c r="B6" s="143">
        <v>10000</v>
      </c>
      <c r="C6" s="136"/>
      <c r="D6" s="10"/>
    </row>
    <row r="7" spans="1:10" ht="15" customHeight="1" x14ac:dyDescent="0.3">
      <c r="A7" s="135"/>
      <c r="B7" s="143"/>
      <c r="C7" s="136"/>
      <c r="D7" s="10"/>
    </row>
    <row r="8" spans="1:10" ht="15" customHeight="1" x14ac:dyDescent="0.3">
      <c r="A8" s="206" t="str">
        <f>"Any carry forward balance MUST be spent before the end of the current academic session"&amp;" "&amp;"("&amp;B22&amp;")"</f>
        <v>Any carry forward balance MUST be spent before the end of the current academic session (2022/23)</v>
      </c>
      <c r="B8" s="144"/>
      <c r="C8" s="137"/>
      <c r="D8" s="10"/>
      <c r="E8" s="209" t="s">
        <v>246</v>
      </c>
      <c r="F8" s="210"/>
      <c r="G8" s="210"/>
      <c r="H8" s="210"/>
      <c r="I8" s="210"/>
      <c r="J8" s="211"/>
    </row>
    <row r="9" spans="1:10" ht="15" customHeight="1" x14ac:dyDescent="0.3">
      <c r="A9" s="206"/>
      <c r="B9" s="144"/>
      <c r="C9" s="137"/>
      <c r="D9" s="10"/>
      <c r="E9" s="13"/>
      <c r="F9" s="86" t="s">
        <v>117</v>
      </c>
      <c r="G9" s="86" t="s">
        <v>118</v>
      </c>
      <c r="H9" s="86" t="s">
        <v>119</v>
      </c>
      <c r="I9" s="86" t="s">
        <v>16</v>
      </c>
      <c r="J9" s="86" t="s">
        <v>120</v>
      </c>
    </row>
    <row r="10" spans="1:10" ht="15" customHeight="1" x14ac:dyDescent="0.3">
      <c r="A10" s="134"/>
      <c r="B10" s="142"/>
      <c r="C10" s="136"/>
      <c r="D10" s="10"/>
      <c r="E10" s="13" t="s">
        <v>32</v>
      </c>
      <c r="F10" s="87">
        <f>SUMIF(Table3[Area of Focus],E10,Table3[Current Financial Year Spend])+SUMIF(Table3[Area of Focus],E10,Table3[Academic Year Spend])+SUMIFS('Staffing Manual Entries'!E:E,'Staffing Manual Entries'!B:B,"Teaching",'Staffing Manual Entries'!C:C,'Setup &amp; Overview'!E10)+SUMIFS('Staffing Manual Entries'!F:F,'Staffing Manual Entries'!B:B,"Teaching",'Staffing Manual Entries'!C:C,'Setup &amp; Overview'!E10)</f>
        <v>0</v>
      </c>
      <c r="G10" s="87">
        <f>SUMIF(Table2[Area of Focus],E10,Table2[Current Financial Year Spend])+SUMIF(Table2[Area of Focus],E10,Table2[Academic Year Spend])+SUMIFS('Staffing Manual Entries'!E:E,'Staffing Manual Entries'!B:B,"Non-Teaching",'Staffing Manual Entries'!C:C,'Setup &amp; Overview'!E10)+SUMIFS('Staffing Manual Entries'!F:F,'Staffing Manual Entries'!B:B,"Non-Teaching",'Staffing Manual Entries'!C:C,'Setup &amp; Overview'!E10)</f>
        <v>0</v>
      </c>
      <c r="H10" s="87">
        <f>SUMIF(Table4[Area of Focus],E10,Table4[[Forecast Spend ]])</f>
        <v>0</v>
      </c>
      <c r="I10" s="87">
        <f>SUM(F10:H10)</f>
        <v>0</v>
      </c>
      <c r="J10" s="88" t="str">
        <f t="shared" ref="J10:J29" si="0">IFERROR(I10/SUM($I$10:$I$29),"-")</f>
        <v>-</v>
      </c>
    </row>
    <row r="11" spans="1:10" ht="15" customHeight="1" x14ac:dyDescent="0.3">
      <c r="A11" s="138" t="str">
        <f>"Current year"&amp;" "&amp;"("&amp;B18&amp;")"&amp;" allocation:"</f>
        <v>Current year (2023/24) allocation:</v>
      </c>
      <c r="B11" s="143">
        <v>60000</v>
      </c>
      <c r="C11" s="136"/>
      <c r="D11" s="10"/>
      <c r="E11" s="13" t="s">
        <v>28</v>
      </c>
      <c r="F11" s="87">
        <f>SUMIF(Table3[Area of Focus],E11,Table3[Current Financial Year Spend])+SUMIF(Table3[Area of Focus],E11,Table3[Academic Year Spend])+SUMIFS('Staffing Manual Entries'!E:E,'Staffing Manual Entries'!B:B,"Teaching",'Staffing Manual Entries'!C:C,'Setup &amp; Overview'!E11)+SUMIFS('Staffing Manual Entries'!F:F,'Staffing Manual Entries'!B:B,"Teaching",'Staffing Manual Entries'!C:C,'Setup &amp; Overview'!E11)</f>
        <v>0</v>
      </c>
      <c r="G11" s="87">
        <f>SUMIF(Table2[Area of Focus],E11,Table2[Current Financial Year Spend])+SUMIF(Table2[Area of Focus],E11,Table2[Academic Year Spend])+SUMIFS('Staffing Manual Entries'!E:E,'Staffing Manual Entries'!B:B,"Non-Teaching",'Staffing Manual Entries'!C:C,'Setup &amp; Overview'!E11)+SUMIFS('Staffing Manual Entries'!F:F,'Staffing Manual Entries'!B:B,"Non-Teaching",'Staffing Manual Entries'!C:C,'Setup &amp; Overview'!E11)</f>
        <v>0</v>
      </c>
      <c r="H11" s="87">
        <f>SUMIF(Table4[Area of Focus],E11,Table4[[Forecast Spend ]])</f>
        <v>0</v>
      </c>
      <c r="I11" s="87">
        <f t="shared" ref="I11:I29" si="1">SUM(F11:H11)</f>
        <v>0</v>
      </c>
      <c r="J11" s="88" t="str">
        <f t="shared" si="0"/>
        <v>-</v>
      </c>
    </row>
    <row r="12" spans="1:10" ht="15" customHeight="1" x14ac:dyDescent="0.3">
      <c r="A12" s="138" t="s">
        <v>183</v>
      </c>
      <c r="B12" s="143">
        <v>2500</v>
      </c>
      <c r="C12" s="136"/>
      <c r="D12" s="10"/>
      <c r="E12" s="13" t="s">
        <v>20</v>
      </c>
      <c r="F12" s="87">
        <f>SUMIF(Table3[Area of Focus],E12,Table3[Current Financial Year Spend])+SUMIF(Table3[Area of Focus],E12,Table3[Academic Year Spend])+SUMIFS('Staffing Manual Entries'!E:E,'Staffing Manual Entries'!B:B,"Teaching",'Staffing Manual Entries'!C:C,'Setup &amp; Overview'!E12)+SUMIFS('Staffing Manual Entries'!F:F,'Staffing Manual Entries'!B:B,"Teaching",'Staffing Manual Entries'!C:C,'Setup &amp; Overview'!E12)</f>
        <v>0</v>
      </c>
      <c r="G12" s="87">
        <f>SUMIF(Table2[Area of Focus],E12,Table2[Current Financial Year Spend])+SUMIF(Table2[Area of Focus],E12,Table2[Academic Year Spend])+SUMIFS('Staffing Manual Entries'!E:E,'Staffing Manual Entries'!B:B,"Non-Teaching",'Staffing Manual Entries'!C:C,'Setup &amp; Overview'!E12)+SUMIFS('Staffing Manual Entries'!F:F,'Staffing Manual Entries'!B:B,"Non-Teaching",'Staffing Manual Entries'!C:C,'Setup &amp; Overview'!E12)</f>
        <v>0</v>
      </c>
      <c r="H12" s="87">
        <f>SUMIF(Table4[Area of Focus],E12,Table4[[Forecast Spend ]])</f>
        <v>0</v>
      </c>
      <c r="I12" s="87">
        <f t="shared" si="1"/>
        <v>0</v>
      </c>
      <c r="J12" s="88" t="str">
        <f t="shared" si="0"/>
        <v>-</v>
      </c>
    </row>
    <row r="13" spans="1:10" ht="15" customHeight="1" x14ac:dyDescent="0.3">
      <c r="A13" s="140"/>
      <c r="B13" s="142"/>
      <c r="C13" s="136"/>
      <c r="D13" s="10"/>
      <c r="E13" s="13" t="s">
        <v>21</v>
      </c>
      <c r="F13" s="87">
        <f>SUMIF(Table3[Area of Focus],E13,Table3[Current Financial Year Spend])+SUMIF(Table3[Area of Focus],E13,Table3[Academic Year Spend])+SUMIFS('Staffing Manual Entries'!E:E,'Staffing Manual Entries'!B:B,"Teaching",'Staffing Manual Entries'!C:C,'Setup &amp; Overview'!E13)+SUMIFS('Staffing Manual Entries'!F:F,'Staffing Manual Entries'!B:B,"Teaching",'Staffing Manual Entries'!C:C,'Setup &amp; Overview'!E13)</f>
        <v>0</v>
      </c>
      <c r="G13" s="87">
        <f>SUMIF(Table2[Area of Focus],E13,Table2[Current Financial Year Spend])+SUMIF(Table2[Area of Focus],E13,Table2[Academic Year Spend])+SUMIFS('Staffing Manual Entries'!E:E,'Staffing Manual Entries'!B:B,"Non-Teaching",'Staffing Manual Entries'!C:C,'Setup &amp; Overview'!E13)+SUMIFS('Staffing Manual Entries'!F:F,'Staffing Manual Entries'!B:B,"Non-Teaching",'Staffing Manual Entries'!C:C,'Setup &amp; Overview'!E13)</f>
        <v>0</v>
      </c>
      <c r="H13" s="87">
        <f>SUMIF(Table4[Area of Focus],E13,Table4[[Forecast Spend ]])</f>
        <v>0</v>
      </c>
      <c r="I13" s="87">
        <f t="shared" si="1"/>
        <v>0</v>
      </c>
      <c r="J13" s="88" t="str">
        <f t="shared" si="0"/>
        <v>-</v>
      </c>
    </row>
    <row r="14" spans="1:10" ht="15" customHeight="1" x14ac:dyDescent="0.3">
      <c r="A14" s="145" t="str">
        <f>"TOTAL BUDGET FOR"&amp;" "&amp;B18&amp;":"</f>
        <v>TOTAL BUDGET FOR 2023/24:</v>
      </c>
      <c r="B14" s="146">
        <f>B6+B11-B12</f>
        <v>67500</v>
      </c>
      <c r="C14" s="136"/>
      <c r="D14" s="10"/>
      <c r="E14" s="13" t="s">
        <v>22</v>
      </c>
      <c r="F14" s="87">
        <f>SUMIF(Table3[Area of Focus],E14,Table3[Current Financial Year Spend])+SUMIF(Table3[Area of Focus],E14,Table3[Academic Year Spend])+SUMIFS('Staffing Manual Entries'!E:E,'Staffing Manual Entries'!B:B,"Teaching",'Staffing Manual Entries'!C:C,'Setup &amp; Overview'!E14)+SUMIFS('Staffing Manual Entries'!F:F,'Staffing Manual Entries'!B:B,"Teaching",'Staffing Manual Entries'!C:C,'Setup &amp; Overview'!E14)</f>
        <v>0</v>
      </c>
      <c r="G14" s="87">
        <f>SUMIF(Table2[Area of Focus],E14,Table2[Current Financial Year Spend])+SUMIF(Table2[Area of Focus],E14,Table2[Academic Year Spend])+SUMIFS('Staffing Manual Entries'!E:E,'Staffing Manual Entries'!B:B,"Non-Teaching",'Staffing Manual Entries'!C:C,'Setup &amp; Overview'!E14)+SUMIFS('Staffing Manual Entries'!F:F,'Staffing Manual Entries'!B:B,"Non-Teaching",'Staffing Manual Entries'!C:C,'Setup &amp; Overview'!E14)</f>
        <v>0</v>
      </c>
      <c r="H14" s="87">
        <f>SUMIF(Table4[Area of Focus],E14,Table4[[Forecast Spend ]])</f>
        <v>0</v>
      </c>
      <c r="I14" s="87">
        <f t="shared" si="1"/>
        <v>0</v>
      </c>
      <c r="J14" s="88" t="str">
        <f t="shared" si="0"/>
        <v>-</v>
      </c>
    </row>
    <row r="15" spans="1:10" ht="15" customHeight="1" thickBot="1" x14ac:dyDescent="0.35">
      <c r="A15" s="139"/>
      <c r="B15" s="139"/>
      <c r="C15" s="10"/>
      <c r="D15" s="10"/>
      <c r="E15" s="13" t="s">
        <v>35</v>
      </c>
      <c r="F15" s="87">
        <f>SUMIF(Table3[Area of Focus],E15,Table3[Current Financial Year Spend])+SUMIF(Table3[Area of Focus],E15,Table3[Academic Year Spend])+SUMIFS('Staffing Manual Entries'!E:E,'Staffing Manual Entries'!B:B,"Teaching",'Staffing Manual Entries'!C:C,'Setup &amp; Overview'!E15)+SUMIFS('Staffing Manual Entries'!F:F,'Staffing Manual Entries'!B:B,"Teaching",'Staffing Manual Entries'!C:C,'Setup &amp; Overview'!E15)</f>
        <v>0</v>
      </c>
      <c r="G15" s="87">
        <f>SUMIF(Table2[Area of Focus],E15,Table2[Current Financial Year Spend])+SUMIF(Table2[Area of Focus],E15,Table2[Academic Year Spend])+SUMIFS('Staffing Manual Entries'!E:E,'Staffing Manual Entries'!B:B,"Non-Teaching",'Staffing Manual Entries'!C:C,'Setup &amp; Overview'!E15)+SUMIFS('Staffing Manual Entries'!F:F,'Staffing Manual Entries'!B:B,"Non-Teaching",'Staffing Manual Entries'!C:C,'Setup &amp; Overview'!E15)</f>
        <v>0</v>
      </c>
      <c r="H15" s="87">
        <f>SUMIF(Table4[Area of Focus],E15,Table4[[Forecast Spend ]])</f>
        <v>0</v>
      </c>
      <c r="I15" s="87">
        <f t="shared" si="1"/>
        <v>0</v>
      </c>
      <c r="J15" s="88" t="str">
        <f t="shared" si="0"/>
        <v>-</v>
      </c>
    </row>
    <row r="16" spans="1:10" ht="15" customHeight="1" thickTop="1" x14ac:dyDescent="0.3">
      <c r="C16" s="10"/>
      <c r="D16" s="10"/>
      <c r="E16" s="13" t="s">
        <v>31</v>
      </c>
      <c r="F16" s="87">
        <f>SUMIF(Table3[Area of Focus],E16,Table3[Current Financial Year Spend])+SUMIF(Table3[Area of Focus],E16,Table3[Academic Year Spend])+SUMIFS('Staffing Manual Entries'!E:E,'Staffing Manual Entries'!B:B,"Teaching",'Staffing Manual Entries'!C:C,'Setup &amp; Overview'!E16)+SUMIFS('Staffing Manual Entries'!F:F,'Staffing Manual Entries'!B:B,"Teaching",'Staffing Manual Entries'!C:C,'Setup &amp; Overview'!E16)</f>
        <v>0</v>
      </c>
      <c r="G16" s="87">
        <f>SUMIF(Table2[Area of Focus],E16,Table2[Current Financial Year Spend])+SUMIF(Table2[Area of Focus],E16,Table2[Academic Year Spend])+SUMIFS('Staffing Manual Entries'!E:E,'Staffing Manual Entries'!B:B,"Non-Teaching",'Staffing Manual Entries'!C:C,'Setup &amp; Overview'!E16)+SUMIFS('Staffing Manual Entries'!F:F,'Staffing Manual Entries'!B:B,"Non-Teaching",'Staffing Manual Entries'!C:C,'Setup &amp; Overview'!E16)</f>
        <v>0</v>
      </c>
      <c r="H16" s="87">
        <f>SUMIF(Table4[Area of Focus],E16,Table4[[Forecast Spend ]])</f>
        <v>0</v>
      </c>
      <c r="I16" s="87">
        <f t="shared" si="1"/>
        <v>0</v>
      </c>
      <c r="J16" s="88" t="str">
        <f t="shared" si="0"/>
        <v>-</v>
      </c>
    </row>
    <row r="17" spans="1:10" ht="15" customHeight="1" x14ac:dyDescent="0.3">
      <c r="A17" s="66" t="s">
        <v>115</v>
      </c>
      <c r="B17" s="10"/>
      <c r="C17" s="10"/>
      <c r="D17" s="10"/>
      <c r="E17" s="13" t="s">
        <v>36</v>
      </c>
      <c r="F17" s="87">
        <f>SUMIF(Table3[Area of Focus],E17,Table3[Current Financial Year Spend])+SUMIF(Table3[Area of Focus],E17,Table3[Academic Year Spend])+SUMIFS('Staffing Manual Entries'!E:E,'Staffing Manual Entries'!B:B,"Teaching",'Staffing Manual Entries'!C:C,'Setup &amp; Overview'!E17)+SUMIFS('Staffing Manual Entries'!F:F,'Staffing Manual Entries'!B:B,"Teaching",'Staffing Manual Entries'!C:C,'Setup &amp; Overview'!E17)</f>
        <v>0</v>
      </c>
      <c r="G17" s="87">
        <f>SUMIF(Table2[Area of Focus],E17,Table2[Current Financial Year Spend])+SUMIF(Table2[Area of Focus],E17,Table2[Academic Year Spend])+SUMIFS('Staffing Manual Entries'!E:E,'Staffing Manual Entries'!B:B,"Non-Teaching",'Staffing Manual Entries'!C:C,'Setup &amp; Overview'!E17)+SUMIFS('Staffing Manual Entries'!F:F,'Staffing Manual Entries'!B:B,"Non-Teaching",'Staffing Manual Entries'!C:C,'Setup &amp; Overview'!E17)</f>
        <v>0</v>
      </c>
      <c r="H17" s="87">
        <f>SUMIF(Table4[Area of Focus],E17,Table4[[Forecast Spend ]])</f>
        <v>0</v>
      </c>
      <c r="I17" s="87">
        <f t="shared" si="1"/>
        <v>0</v>
      </c>
      <c r="J17" s="88" t="str">
        <f t="shared" si="0"/>
        <v>-</v>
      </c>
    </row>
    <row r="18" spans="1:10" ht="15" customHeight="1" x14ac:dyDescent="0.3">
      <c r="A18" s="12" t="s">
        <v>98</v>
      </c>
      <c r="B18" s="80" t="s">
        <v>95</v>
      </c>
      <c r="C18" s="10"/>
      <c r="D18" s="10"/>
      <c r="E18" s="13" t="s">
        <v>25</v>
      </c>
      <c r="F18" s="87">
        <f>SUMIF(Table3[Area of Focus],E18,Table3[Current Financial Year Spend])+SUMIF(Table3[Area of Focus],E18,Table3[Academic Year Spend])+SUMIFS('Staffing Manual Entries'!E:E,'Staffing Manual Entries'!B:B,"Teaching",'Staffing Manual Entries'!C:C,'Setup &amp; Overview'!E18)+SUMIFS('Staffing Manual Entries'!F:F,'Staffing Manual Entries'!B:B,"Teaching",'Staffing Manual Entries'!C:C,'Setup &amp; Overview'!E18)</f>
        <v>0</v>
      </c>
      <c r="G18" s="87">
        <f>SUMIF(Table2[Area of Focus],E18,Table2[Current Financial Year Spend])+SUMIF(Table2[Area of Focus],E18,Table2[Academic Year Spend])+SUMIFS('Staffing Manual Entries'!E:E,'Staffing Manual Entries'!B:B,"Non-Teaching",'Staffing Manual Entries'!C:C,'Setup &amp; Overview'!E18)+SUMIFS('Staffing Manual Entries'!F:F,'Staffing Manual Entries'!B:B,"Non-Teaching",'Staffing Manual Entries'!C:C,'Setup &amp; Overview'!E18)</f>
        <v>0</v>
      </c>
      <c r="H18" s="87">
        <f>SUMIF(Table4[Area of Focus],E18,Table4[[Forecast Spend ]])</f>
        <v>0</v>
      </c>
      <c r="I18" s="87">
        <f t="shared" si="1"/>
        <v>0</v>
      </c>
      <c r="J18" s="88" t="str">
        <f t="shared" si="0"/>
        <v>-</v>
      </c>
    </row>
    <row r="19" spans="1:10" ht="15" customHeight="1" x14ac:dyDescent="0.3">
      <c r="A19" s="12" t="s">
        <v>91</v>
      </c>
      <c r="B19" s="80">
        <v>45017</v>
      </c>
      <c r="C19" s="10"/>
      <c r="D19" s="10"/>
      <c r="E19" s="13" t="s">
        <v>249</v>
      </c>
      <c r="F19" s="87">
        <f>SUMIF(Table3[Area of Focus],E19,Table3[Current Financial Year Spend])+SUMIF(Table3[Area of Focus],E19,Table3[Academic Year Spend])+SUMIFS('Staffing Manual Entries'!E:E,'Staffing Manual Entries'!B:B,"Teaching",'Staffing Manual Entries'!C:C,'Setup &amp; Overview'!E19)+SUMIFS('Staffing Manual Entries'!F:F,'Staffing Manual Entries'!B:B,"Teaching",'Staffing Manual Entries'!C:C,'Setup &amp; Overview'!E19)</f>
        <v>0</v>
      </c>
      <c r="G19" s="87">
        <f>SUMIF(Table2[Area of Focus],E19,Table2[Current Financial Year Spend])+SUMIF(Table2[Area of Focus],E19,Table2[Academic Year Spend])+SUMIFS('Staffing Manual Entries'!E:E,'Staffing Manual Entries'!B:B,"Non-Teaching",'Staffing Manual Entries'!C:C,'Setup &amp; Overview'!E19)+SUMIFS('Staffing Manual Entries'!F:F,'Staffing Manual Entries'!B:B,"Non-Teaching",'Staffing Manual Entries'!C:C,'Setup &amp; Overview'!E19)</f>
        <v>0</v>
      </c>
      <c r="H19" s="87">
        <f>SUMIF(Table4[Area of Focus],E19,Table4[[Forecast Spend ]])</f>
        <v>0</v>
      </c>
      <c r="I19" s="87">
        <f t="shared" ref="I19" si="2">SUM(F19:H19)</f>
        <v>0</v>
      </c>
      <c r="J19" s="88" t="str">
        <f t="shared" si="0"/>
        <v>-</v>
      </c>
    </row>
    <row r="20" spans="1:10" ht="15" customHeight="1" x14ac:dyDescent="0.3">
      <c r="A20" s="12" t="s">
        <v>90</v>
      </c>
      <c r="B20" s="80">
        <v>45382</v>
      </c>
      <c r="C20" s="10"/>
      <c r="D20" s="10"/>
      <c r="E20" s="13" t="s">
        <v>23</v>
      </c>
      <c r="F20" s="87">
        <f>SUMIF(Table3[Area of Focus],E20,Table3[Current Financial Year Spend])+SUMIF(Table3[Area of Focus],E20,Table3[Academic Year Spend])+SUMIFS('Staffing Manual Entries'!E:E,'Staffing Manual Entries'!B:B,"Teaching",'Staffing Manual Entries'!C:C,'Setup &amp; Overview'!E20)+SUMIFS('Staffing Manual Entries'!F:F,'Staffing Manual Entries'!B:B,"Teaching",'Staffing Manual Entries'!C:C,'Setup &amp; Overview'!E20)</f>
        <v>0</v>
      </c>
      <c r="G20" s="87">
        <f>SUMIF(Table2[Area of Focus],E20,Table2[Current Financial Year Spend])+SUMIF(Table2[Area of Focus],E20,Table2[Academic Year Spend])+SUMIFS('Staffing Manual Entries'!E:E,'Staffing Manual Entries'!B:B,"Non-Teaching",'Staffing Manual Entries'!C:C,'Setup &amp; Overview'!E20)+SUMIFS('Staffing Manual Entries'!F:F,'Staffing Manual Entries'!B:B,"Non-Teaching",'Staffing Manual Entries'!C:C,'Setup &amp; Overview'!E20)</f>
        <v>0</v>
      </c>
      <c r="H20" s="87">
        <f>SUMIF(Table4[Area of Focus],E20,Table4[[Forecast Spend ]])</f>
        <v>0</v>
      </c>
      <c r="I20" s="87">
        <f t="shared" si="1"/>
        <v>0</v>
      </c>
      <c r="J20" s="88" t="str">
        <f t="shared" si="0"/>
        <v>-</v>
      </c>
    </row>
    <row r="21" spans="1:10" ht="15" customHeight="1" x14ac:dyDescent="0.3">
      <c r="A21" s="10"/>
      <c r="B21" s="10"/>
      <c r="C21" s="10"/>
      <c r="D21" s="10"/>
      <c r="E21" s="13" t="s">
        <v>33</v>
      </c>
      <c r="F21" s="87">
        <f>SUMIF(Table3[Area of Focus],E21,Table3[Current Financial Year Spend])+SUMIF(Table3[Area of Focus],E21,Table3[Academic Year Spend])+SUMIFS('Staffing Manual Entries'!E:E,'Staffing Manual Entries'!B:B,"Teaching",'Staffing Manual Entries'!C:C,'Setup &amp; Overview'!E21)+SUMIFS('Staffing Manual Entries'!F:F,'Staffing Manual Entries'!B:B,"Teaching",'Staffing Manual Entries'!C:C,'Setup &amp; Overview'!E21)</f>
        <v>0</v>
      </c>
      <c r="G21" s="87">
        <f>SUMIF(Table2[Area of Focus],E21,Table2[Current Financial Year Spend])+SUMIF(Table2[Area of Focus],E21,Table2[Academic Year Spend])+SUMIFS('Staffing Manual Entries'!E:E,'Staffing Manual Entries'!B:B,"Non-Teaching",'Staffing Manual Entries'!C:C,'Setup &amp; Overview'!E21)+SUMIFS('Staffing Manual Entries'!F:F,'Staffing Manual Entries'!B:B,"Non-Teaching",'Staffing Manual Entries'!C:C,'Setup &amp; Overview'!E21)</f>
        <v>0</v>
      </c>
      <c r="H21" s="87">
        <f>SUMIF(Table4[Area of Focus],E21,Table4[[Forecast Spend ]])</f>
        <v>0</v>
      </c>
      <c r="I21" s="87">
        <f t="shared" si="1"/>
        <v>0</v>
      </c>
      <c r="J21" s="88" t="str">
        <f t="shared" si="0"/>
        <v>-</v>
      </c>
    </row>
    <row r="22" spans="1:10" ht="15" customHeight="1" x14ac:dyDescent="0.3">
      <c r="A22" s="67" t="s">
        <v>96</v>
      </c>
      <c r="B22" s="68" t="s">
        <v>97</v>
      </c>
      <c r="C22" s="10"/>
      <c r="D22" s="10"/>
      <c r="E22" s="13" t="s">
        <v>18</v>
      </c>
      <c r="F22" s="87">
        <f>SUMIF(Table3[Area of Focus],E22,Table3[Current Financial Year Spend])+SUMIF(Table3[Area of Focus],E22,Table3[Academic Year Spend])+SUMIFS('Staffing Manual Entries'!E:E,'Staffing Manual Entries'!B:B,"Teaching",'Staffing Manual Entries'!C:C,'Setup &amp; Overview'!E22)+SUMIFS('Staffing Manual Entries'!F:F,'Staffing Manual Entries'!B:B,"Teaching",'Staffing Manual Entries'!C:C,'Setup &amp; Overview'!E22)</f>
        <v>0</v>
      </c>
      <c r="G22" s="87">
        <f>SUMIF(Table2[Area of Focus],E22,Table2[Current Financial Year Spend])+SUMIF(Table2[Area of Focus],E22,Table2[Academic Year Spend])+SUMIFS('Staffing Manual Entries'!E:E,'Staffing Manual Entries'!B:B,"Non-Teaching",'Staffing Manual Entries'!C:C,'Setup &amp; Overview'!E22)+SUMIFS('Staffing Manual Entries'!F:F,'Staffing Manual Entries'!B:B,"Non-Teaching",'Staffing Manual Entries'!C:C,'Setup &amp; Overview'!E22)</f>
        <v>0</v>
      </c>
      <c r="H22" s="87">
        <f>SUMIF(Table4[Area of Focus],E22,Table4[[Forecast Spend ]])</f>
        <v>0</v>
      </c>
      <c r="I22" s="87">
        <f t="shared" si="1"/>
        <v>0</v>
      </c>
      <c r="J22" s="88" t="str">
        <f t="shared" si="0"/>
        <v>-</v>
      </c>
    </row>
    <row r="23" spans="1:10" ht="15" customHeight="1" x14ac:dyDescent="0.3">
      <c r="A23" s="67" t="s">
        <v>99</v>
      </c>
      <c r="B23" s="68" t="s">
        <v>100</v>
      </c>
      <c r="C23" s="10"/>
      <c r="D23" s="10"/>
      <c r="E23" s="13" t="s">
        <v>19</v>
      </c>
      <c r="F23" s="87">
        <f>SUMIF(Table3[Area of Focus],E23,Table3[Current Financial Year Spend])+SUMIF(Table3[Area of Focus],E23,Table3[Academic Year Spend])+SUMIFS('Staffing Manual Entries'!E:E,'Staffing Manual Entries'!B:B,"Teaching",'Staffing Manual Entries'!C:C,'Setup &amp; Overview'!E23)+SUMIFS('Staffing Manual Entries'!F:F,'Staffing Manual Entries'!B:B,"Teaching",'Staffing Manual Entries'!C:C,'Setup &amp; Overview'!E23)</f>
        <v>0</v>
      </c>
      <c r="G23" s="87">
        <f>SUMIF(Table2[Area of Focus],E23,Table2[Current Financial Year Spend])+SUMIF(Table2[Area of Focus],E23,Table2[Academic Year Spend])+SUMIFS('Staffing Manual Entries'!E:E,'Staffing Manual Entries'!B:B,"Non-Teaching",'Staffing Manual Entries'!C:C,'Setup &amp; Overview'!E23)+SUMIFS('Staffing Manual Entries'!F:F,'Staffing Manual Entries'!B:B,"Non-Teaching",'Staffing Manual Entries'!C:C,'Setup &amp; Overview'!E23)</f>
        <v>0</v>
      </c>
      <c r="H23" s="87">
        <f>SUMIF(Table4[Area of Focus],E23,Table4[[Forecast Spend ]])</f>
        <v>0</v>
      </c>
      <c r="I23" s="87">
        <f t="shared" si="1"/>
        <v>0</v>
      </c>
      <c r="J23" s="88" t="str">
        <f t="shared" si="0"/>
        <v>-</v>
      </c>
    </row>
    <row r="24" spans="1:10" ht="15" customHeight="1" x14ac:dyDescent="0.3">
      <c r="A24" s="69"/>
      <c r="B24" s="69"/>
      <c r="C24" s="10"/>
      <c r="D24" s="10"/>
      <c r="E24" s="13" t="s">
        <v>24</v>
      </c>
      <c r="F24" s="87">
        <f>SUMIF(Table3[Area of Focus],E24,Table3[Current Financial Year Spend])+SUMIF(Table3[Area of Focus],E24,Table3[Academic Year Spend])+SUMIFS('Staffing Manual Entries'!E:E,'Staffing Manual Entries'!B:B,"Teaching",'Staffing Manual Entries'!C:C,'Setup &amp; Overview'!E24)+SUMIFS('Staffing Manual Entries'!F:F,'Staffing Manual Entries'!B:B,"Teaching",'Staffing Manual Entries'!C:C,'Setup &amp; Overview'!E24)</f>
        <v>0</v>
      </c>
      <c r="G24" s="87">
        <f>SUMIF(Table2[Area of Focus],E24,Table2[Current Financial Year Spend])+SUMIF(Table2[Area of Focus],E24,Table2[Academic Year Spend])+SUMIFS('Staffing Manual Entries'!E:E,'Staffing Manual Entries'!B:B,"Non-Teaching",'Staffing Manual Entries'!C:C,'Setup &amp; Overview'!E24)+SUMIFS('Staffing Manual Entries'!F:F,'Staffing Manual Entries'!B:B,"Non-Teaching",'Staffing Manual Entries'!C:C,'Setup &amp; Overview'!E24)</f>
        <v>0</v>
      </c>
      <c r="H24" s="87">
        <f>SUMIF(Table4[Area of Focus],E24,Table4[[Forecast Spend ]])</f>
        <v>0</v>
      </c>
      <c r="I24" s="87">
        <f t="shared" si="1"/>
        <v>0</v>
      </c>
      <c r="J24" s="88" t="str">
        <f t="shared" si="0"/>
        <v>-</v>
      </c>
    </row>
    <row r="25" spans="1:10" ht="15" customHeight="1" x14ac:dyDescent="0.3">
      <c r="A25" s="67" t="s">
        <v>92</v>
      </c>
      <c r="B25" s="68">
        <f>B20+1</f>
        <v>45383</v>
      </c>
      <c r="C25" s="10"/>
      <c r="D25" s="10"/>
      <c r="E25" s="13" t="s">
        <v>30</v>
      </c>
      <c r="F25" s="87">
        <f>SUMIF(Table3[Area of Focus],E25,Table3[Current Financial Year Spend])+SUMIF(Table3[Area of Focus],E25,Table3[Academic Year Spend])+SUMIFS('Staffing Manual Entries'!E:E,'Staffing Manual Entries'!B:B,"Teaching",'Staffing Manual Entries'!C:C,'Setup &amp; Overview'!E25)+SUMIFS('Staffing Manual Entries'!F:F,'Staffing Manual Entries'!B:B,"Teaching",'Staffing Manual Entries'!C:C,'Setup &amp; Overview'!E25)</f>
        <v>0</v>
      </c>
      <c r="G25" s="87">
        <f>SUMIF(Table2[Area of Focus],E25,Table2[Current Financial Year Spend])+SUMIF(Table2[Area of Focus],E25,Table2[Academic Year Spend])+SUMIFS('Staffing Manual Entries'!E:E,'Staffing Manual Entries'!B:B,"Non-Teaching",'Staffing Manual Entries'!C:C,'Setup &amp; Overview'!E25)+SUMIFS('Staffing Manual Entries'!F:F,'Staffing Manual Entries'!B:B,"Non-Teaching",'Staffing Manual Entries'!C:C,'Setup &amp; Overview'!E25)</f>
        <v>0</v>
      </c>
      <c r="H25" s="87">
        <f>SUMIF(Table4[Area of Focus],E25,Table4[[Forecast Spend ]])</f>
        <v>0</v>
      </c>
      <c r="I25" s="87">
        <f t="shared" si="1"/>
        <v>0</v>
      </c>
      <c r="J25" s="88" t="str">
        <f t="shared" si="0"/>
        <v>-</v>
      </c>
    </row>
    <row r="26" spans="1:10" ht="15" customHeight="1" x14ac:dyDescent="0.3">
      <c r="A26" s="67" t="s">
        <v>245</v>
      </c>
      <c r="B26" s="68">
        <v>45520</v>
      </c>
      <c r="C26" s="10"/>
      <c r="D26" s="10"/>
      <c r="E26" s="13" t="s">
        <v>27</v>
      </c>
      <c r="F26" s="87">
        <f>SUMIF(Table3[Area of Focus],E26,Table3[Current Financial Year Spend])+SUMIF(Table3[Area of Focus],E26,Table3[Academic Year Spend])+SUMIFS('Staffing Manual Entries'!E:E,'Staffing Manual Entries'!B:B,"Teaching",'Staffing Manual Entries'!C:C,'Setup &amp; Overview'!E26)+SUMIFS('Staffing Manual Entries'!F:F,'Staffing Manual Entries'!B:B,"Teaching",'Staffing Manual Entries'!C:C,'Setup &amp; Overview'!E26)</f>
        <v>0</v>
      </c>
      <c r="G26" s="87">
        <f>SUMIF(Table2[Area of Focus],E26,Table2[Current Financial Year Spend])+SUMIF(Table2[Area of Focus],E26,Table2[Academic Year Spend])+SUMIFS('Staffing Manual Entries'!E:E,'Staffing Manual Entries'!B:B,"Non-Teaching",'Staffing Manual Entries'!C:C,'Setup &amp; Overview'!E26)+SUMIFS('Staffing Manual Entries'!F:F,'Staffing Manual Entries'!B:B,"Non-Teaching",'Staffing Manual Entries'!C:C,'Setup &amp; Overview'!E26)</f>
        <v>0</v>
      </c>
      <c r="H26" s="87">
        <f>SUMIF(Table4[Area of Focus],E26,Table4[[Forecast Spend ]])</f>
        <v>0</v>
      </c>
      <c r="I26" s="87">
        <f t="shared" si="1"/>
        <v>0</v>
      </c>
      <c r="J26" s="88" t="str">
        <f t="shared" si="0"/>
        <v>-</v>
      </c>
    </row>
    <row r="27" spans="1:10" x14ac:dyDescent="0.3">
      <c r="A27" s="69"/>
      <c r="B27" s="69"/>
      <c r="C27" s="10"/>
      <c r="E27" s="13" t="s">
        <v>34</v>
      </c>
      <c r="F27" s="87">
        <f>SUMIF(Table3[Area of Focus],E27,Table3[Current Financial Year Spend])+SUMIF(Table3[Area of Focus],E27,Table3[Academic Year Spend])+SUMIFS('Staffing Manual Entries'!E:E,'Staffing Manual Entries'!B:B,"Teaching",'Staffing Manual Entries'!C:C,'Setup &amp; Overview'!E27)+SUMIFS('Staffing Manual Entries'!F:F,'Staffing Manual Entries'!B:B,"Teaching",'Staffing Manual Entries'!C:C,'Setup &amp; Overview'!E27)</f>
        <v>0</v>
      </c>
      <c r="G27" s="87">
        <f>SUMIF(Table2[Area of Focus],E27,Table2[Current Financial Year Spend])+SUMIF(Table2[Area of Focus],E27,Table2[Academic Year Spend])+SUMIFS('Staffing Manual Entries'!E:E,'Staffing Manual Entries'!B:B,"Non-Teaching",'Staffing Manual Entries'!C:C,'Setup &amp; Overview'!E27)+SUMIFS('Staffing Manual Entries'!F:F,'Staffing Manual Entries'!B:B,"Non-Teaching",'Staffing Manual Entries'!C:C,'Setup &amp; Overview'!E27)</f>
        <v>0</v>
      </c>
      <c r="H27" s="87">
        <f>SUMIF(Table4[Area of Focus],E27,Table4[[Forecast Spend ]])</f>
        <v>0</v>
      </c>
      <c r="I27" s="87">
        <f t="shared" si="1"/>
        <v>0</v>
      </c>
      <c r="J27" s="88" t="str">
        <f t="shared" si="0"/>
        <v>-</v>
      </c>
    </row>
    <row r="28" spans="1:10" x14ac:dyDescent="0.3">
      <c r="A28" s="70" t="s">
        <v>114</v>
      </c>
      <c r="B28" s="71">
        <f>DATEDIF('Setup &amp; Overview'!B25,'Setup &amp; Overview'!B26,"D")+1</f>
        <v>138</v>
      </c>
      <c r="E28" s="13" t="s">
        <v>29</v>
      </c>
      <c r="F28" s="87">
        <f>SUMIF(Table3[Area of Focus],E28,Table3[Current Financial Year Spend])+SUMIF(Table3[Area of Focus],E28,Table3[Academic Year Spend])+SUMIFS('Staffing Manual Entries'!E:E,'Staffing Manual Entries'!B:B,"Teaching",'Staffing Manual Entries'!C:C,'Setup &amp; Overview'!E28)+SUMIFS('Staffing Manual Entries'!F:F,'Staffing Manual Entries'!B:B,"Teaching",'Staffing Manual Entries'!C:C,'Setup &amp; Overview'!E28)</f>
        <v>0</v>
      </c>
      <c r="G28" s="87">
        <f>SUMIF(Table2[Area of Focus],E28,Table2[Current Financial Year Spend])+SUMIF(Table2[Area of Focus],E28,Table2[Academic Year Spend])+SUMIFS('Staffing Manual Entries'!E:E,'Staffing Manual Entries'!B:B,"Non-Teaching",'Staffing Manual Entries'!C:C,'Setup &amp; Overview'!E28)+SUMIFS('Staffing Manual Entries'!F:F,'Staffing Manual Entries'!B:B,"Non-Teaching",'Staffing Manual Entries'!C:C,'Setup &amp; Overview'!E28)</f>
        <v>0</v>
      </c>
      <c r="H28" s="87">
        <f>SUMIF(Table4[Area of Focus],E28,Table4[[Forecast Spend ]])</f>
        <v>0</v>
      </c>
      <c r="I28" s="87">
        <f t="shared" si="1"/>
        <v>0</v>
      </c>
      <c r="J28" s="88" t="str">
        <f t="shared" si="0"/>
        <v>-</v>
      </c>
    </row>
    <row r="29" spans="1:10" x14ac:dyDescent="0.3">
      <c r="A29" s="10"/>
      <c r="B29" s="10"/>
      <c r="E29" s="13" t="s">
        <v>26</v>
      </c>
      <c r="F29" s="87">
        <f>SUMIF(Table3[Area of Focus],E29,Table3[Current Financial Year Spend])+SUMIF(Table3[Area of Focus],E29,Table3[Academic Year Spend])+SUMIFS('Staffing Manual Entries'!E:E,'Staffing Manual Entries'!B:B,"Teaching",'Staffing Manual Entries'!C:C,'Setup &amp; Overview'!E29)+SUMIFS('Staffing Manual Entries'!F:F,'Staffing Manual Entries'!B:B,"Teaching",'Staffing Manual Entries'!C:C,'Setup &amp; Overview'!E29)</f>
        <v>0</v>
      </c>
      <c r="G29" s="87">
        <f>SUMIF(Table2[Area of Focus],E29,Table2[Current Financial Year Spend])+SUMIF(Table2[Area of Focus],E29,Table2[Academic Year Spend])+SUMIFS('Staffing Manual Entries'!E:E,'Staffing Manual Entries'!B:B,"Non-Teaching",'Staffing Manual Entries'!C:C,'Setup &amp; Overview'!E29)+SUMIFS('Staffing Manual Entries'!F:F,'Staffing Manual Entries'!B:B,"Non-Teaching",'Staffing Manual Entries'!C:C,'Setup &amp; Overview'!E29)</f>
        <v>0</v>
      </c>
      <c r="H29" s="87">
        <f>SUMIF(Table4[Area of Focus],E29,Table4[[Forecast Spend ]])</f>
        <v>0</v>
      </c>
      <c r="I29" s="87">
        <f t="shared" si="1"/>
        <v>0</v>
      </c>
      <c r="J29" s="88" t="str">
        <f t="shared" si="0"/>
        <v>-</v>
      </c>
    </row>
    <row r="30" spans="1:10" x14ac:dyDescent="0.3">
      <c r="A30" s="66" t="s">
        <v>228</v>
      </c>
      <c r="B30" s="10"/>
    </row>
    <row r="31" spans="1:10" x14ac:dyDescent="0.3">
      <c r="A31" s="83" t="s">
        <v>131</v>
      </c>
      <c r="B31" s="84">
        <v>0.05</v>
      </c>
    </row>
    <row r="32" spans="1:10" x14ac:dyDescent="0.3"/>
    <row r="33" hidden="1" x14ac:dyDescent="0.3"/>
    <row r="34" hidden="1" x14ac:dyDescent="0.3"/>
    <row r="35" hidden="1" x14ac:dyDescent="0.3"/>
    <row r="36" hidden="1" x14ac:dyDescent="0.3"/>
    <row r="37" hidden="1" x14ac:dyDescent="0.3"/>
  </sheetData>
  <sheetProtection sheet="1" selectLockedCells="1"/>
  <mergeCells count="6">
    <mergeCell ref="A1:A2"/>
    <mergeCell ref="B1:D2"/>
    <mergeCell ref="A8:A9"/>
    <mergeCell ref="A4:B4"/>
    <mergeCell ref="E8:J8"/>
    <mergeCell ref="G1:I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Lookups!$H$2:$H$53</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zoomScale="70" zoomScaleNormal="70" workbookViewId="0">
      <selection activeCell="A3" sqref="A3"/>
    </sheetView>
  </sheetViews>
  <sheetFormatPr defaultColWidth="0" defaultRowHeight="14.4" x14ac:dyDescent="0.3"/>
  <cols>
    <col min="1" max="1" width="42.77734375" style="1" bestFit="1" customWidth="1"/>
    <col min="2" max="2" width="19.5546875" style="1" bestFit="1" customWidth="1"/>
    <col min="3" max="3" width="9.33203125" style="1" customWidth="1"/>
    <col min="4" max="4" width="5.44140625" style="19" customWidth="1"/>
    <col min="5" max="5" width="13.88671875" style="19" bestFit="1" customWidth="1"/>
    <col min="6" max="6" width="18.21875" style="1" customWidth="1"/>
    <col min="7" max="7" width="5.33203125" style="1" bestFit="1" customWidth="1"/>
    <col min="8" max="8" width="18.21875" style="3" customWidth="1"/>
    <col min="9" max="9" width="17.44140625" style="3" bestFit="1" customWidth="1"/>
    <col min="10" max="10" width="14.77734375" style="1" customWidth="1"/>
    <col min="11" max="11" width="18.44140625" style="1" customWidth="1"/>
    <col min="12" max="12" width="17.88671875" style="3" customWidth="1"/>
    <col min="13" max="13" width="16.33203125" style="3" bestFit="1" customWidth="1"/>
    <col min="14" max="14" width="17" style="3" customWidth="1"/>
    <col min="15" max="15" width="16.33203125" style="1" bestFit="1" customWidth="1"/>
    <col min="16" max="17" width="9.109375" style="1" customWidth="1"/>
    <col min="18" max="16384" width="9.109375" style="1" hidden="1"/>
  </cols>
  <sheetData>
    <row r="1" spans="1:16" ht="14.4" customHeight="1" x14ac:dyDescent="0.3">
      <c r="A1" s="66" t="s">
        <v>132</v>
      </c>
      <c r="B1" s="10"/>
      <c r="C1" s="10"/>
      <c r="D1" s="10"/>
      <c r="E1" s="10"/>
      <c r="F1" s="10"/>
      <c r="G1" s="10"/>
      <c r="H1" s="10"/>
      <c r="I1" s="10"/>
      <c r="J1" s="10"/>
      <c r="K1" s="10"/>
      <c r="L1" s="10"/>
      <c r="M1" s="10"/>
      <c r="N1" s="10"/>
      <c r="O1"/>
    </row>
    <row r="2" spans="1:16" s="24" customFormat="1" ht="89.4" customHeight="1" x14ac:dyDescent="0.3">
      <c r="A2" s="36" t="s">
        <v>2</v>
      </c>
      <c r="B2" s="36" t="s">
        <v>17</v>
      </c>
      <c r="C2" s="36" t="s">
        <v>9</v>
      </c>
      <c r="D2" s="38" t="s">
        <v>15</v>
      </c>
      <c r="E2" s="72" t="s">
        <v>178</v>
      </c>
      <c r="F2" s="72" t="s">
        <v>179</v>
      </c>
      <c r="G2" s="36" t="s">
        <v>6</v>
      </c>
      <c r="H2" s="73" t="s">
        <v>93</v>
      </c>
      <c r="I2" s="74" t="s">
        <v>94</v>
      </c>
      <c r="J2" s="37" t="s">
        <v>110</v>
      </c>
      <c r="K2" s="37" t="s">
        <v>188</v>
      </c>
      <c r="L2" s="37" t="s">
        <v>247</v>
      </c>
      <c r="M2" s="73" t="s">
        <v>108</v>
      </c>
      <c r="N2" s="74" t="s">
        <v>236</v>
      </c>
      <c r="O2" s="75" t="s">
        <v>230</v>
      </c>
    </row>
    <row r="3" spans="1:16" x14ac:dyDescent="0.3">
      <c r="A3" s="46"/>
      <c r="B3" s="79"/>
      <c r="C3" s="35"/>
      <c r="D3" s="22" t="str">
        <f t="shared" ref="D3:D12" si="0">IFERROR(IF(A3="","",IF(C3="","",C3/35)),"")</f>
        <v/>
      </c>
      <c r="E3" s="21"/>
      <c r="F3" s="21"/>
      <c r="G3" s="23" t="str">
        <f t="shared" ref="G3:G12" si="1">IFERROR(IF(OR(E3="",F3=""),"",INT(F3-E3+1)),"")</f>
        <v/>
      </c>
      <c r="H3" s="33" t="str">
        <f>IF(OR(E3="",F3=""),"",IF(AND(E3&lt;='Setup &amp; Overview'!$B$20,F3&lt;='Setup &amp; Overview'!$B$20),INT(F3-E3+1),IF(AND(E3&lt;='Setup &amp; Overview'!$B$20,F3&gt;='Setup &amp; Overview'!$B$25),INT('Setup &amp; Overview'!$B$20-E3+1),"-")))</f>
        <v/>
      </c>
      <c r="I3" s="34" t="str">
        <f>IF(OR(E3="",F3=""),"",IF(E3&gt;'Setup &amp; Overview'!$B$25,INT(F3-E3+1),IF(F3&gt;='Setup &amp; Overview'!$B$25,INT(F3-'Setup &amp; Overview'!$B$25+1),"-")))</f>
        <v/>
      </c>
      <c r="J3" s="42" t="str">
        <f>IFERROR(VLOOKUP(A3,Lookups!A:B,2,0),"")</f>
        <v/>
      </c>
      <c r="K3" s="185"/>
      <c r="L3" s="42" t="str">
        <f>IF(A3="","",IF(ISNUMBER(SEARCH("Enhancement",A3))=TRUE,IFERROR(VLOOKUP(A3,Lookups!A:C,3,0)-VLOOKUP(K3,Lookups!A:B,2,0),""),0))</f>
        <v/>
      </c>
      <c r="M3" s="42" t="str">
        <f t="shared" ref="M3:M12" si="2">IFERROR(IF(OR(E3="",F3=""),"",SUM(IF(H3&gt;365,365,H3)/365*J3*D3,IF(H3&gt;365,365,H3)/365*L3*D3)),"")</f>
        <v/>
      </c>
      <c r="N3" s="41" t="str">
        <f>IFERROR(IF(OR(E3="",F3=""),"",IFERROR(SUM(I3/365*J3*D3*(1+'Setup &amp; Overview'!$B$31),(I3/365*L3*D3*(1+'Setup &amp; Overview'!$B$31))),"-")),"")</f>
        <v/>
      </c>
      <c r="O3" s="2"/>
    </row>
    <row r="4" spans="1:16" x14ac:dyDescent="0.3">
      <c r="A4" s="46"/>
      <c r="B4" s="79"/>
      <c r="C4" s="35"/>
      <c r="D4" s="22" t="str">
        <f t="shared" si="0"/>
        <v/>
      </c>
      <c r="E4" s="21"/>
      <c r="F4" s="21"/>
      <c r="G4" s="23" t="str">
        <f t="shared" si="1"/>
        <v/>
      </c>
      <c r="H4" s="33" t="str">
        <f>IF(OR(E4="",F4=""),"",IF(AND(E4&lt;='Setup &amp; Overview'!$B$20,F4&lt;='Setup &amp; Overview'!$B$20),INT(F4-E4+1),IF(AND(E4&lt;='Setup &amp; Overview'!$B$20,F4&gt;='Setup &amp; Overview'!$B$25),INT('Setup &amp; Overview'!$B$20-E4+1),"-")))</f>
        <v/>
      </c>
      <c r="I4" s="34" t="str">
        <f>IF(OR(E4="",F4=""),"",IF(E4&gt;'Setup &amp; Overview'!$B$25,INT(F4-E4+1),IF(F4&gt;='Setup &amp; Overview'!$B$25,INT(F4-'Setup &amp; Overview'!$B$25+1),"-")))</f>
        <v/>
      </c>
      <c r="J4" s="42" t="str">
        <f>IFERROR(VLOOKUP(A4,Lookups!A:B,2,0),"")</f>
        <v/>
      </c>
      <c r="K4" s="185"/>
      <c r="L4" s="42" t="str">
        <f>IF(A4="","",IF(ISNUMBER(SEARCH("Enhancement",A4))=TRUE,IFERROR(VLOOKUP(A4,Lookups!A:C,3,0)-VLOOKUP(K4,Lookups!A:B,2,0),""),0))</f>
        <v/>
      </c>
      <c r="M4" s="42" t="str">
        <f t="shared" si="2"/>
        <v/>
      </c>
      <c r="N4" s="41" t="str">
        <f>IFERROR(IF(OR(E4="",F4=""),"",IFERROR(SUM(I4/365*J4*D4*(1+'Setup &amp; Overview'!$B$31),(I4/365*L4*D4*(1+'Setup &amp; Overview'!$B$31))),"-")),"")</f>
        <v/>
      </c>
      <c r="O4" s="2"/>
    </row>
    <row r="5" spans="1:16" x14ac:dyDescent="0.3">
      <c r="A5" s="46"/>
      <c r="B5" s="79"/>
      <c r="C5" s="35"/>
      <c r="D5" s="22" t="str">
        <f t="shared" si="0"/>
        <v/>
      </c>
      <c r="E5" s="21"/>
      <c r="F5" s="21"/>
      <c r="G5" s="23" t="str">
        <f t="shared" si="1"/>
        <v/>
      </c>
      <c r="H5" s="33" t="str">
        <f>IF(OR(E5="",F5=""),"",IF(AND(E5&lt;='Setup &amp; Overview'!$B$20,F5&lt;='Setup &amp; Overview'!$B$20),INT(F5-E5+1),IF(AND(E5&lt;='Setup &amp; Overview'!$B$20,F5&gt;='Setup &amp; Overview'!$B$25),INT('Setup &amp; Overview'!$B$20-E5+1),"-")))</f>
        <v/>
      </c>
      <c r="I5" s="34" t="str">
        <f>IF(OR(E5="",F5=""),"",IF(E5&gt;'Setup &amp; Overview'!$B$25,INT(F5-E5+1),IF(F5&gt;='Setup &amp; Overview'!$B$25,INT(F5-'Setup &amp; Overview'!$B$25+1),"-")))</f>
        <v/>
      </c>
      <c r="J5" s="42" t="str">
        <f>IFERROR(VLOOKUP(A5,Lookups!A:B,2,0),"")</f>
        <v/>
      </c>
      <c r="K5" s="185"/>
      <c r="L5" s="42" t="str">
        <f>IF(A5="","",IF(ISNUMBER(SEARCH("Enhancement",A5))=TRUE,IFERROR(VLOOKUP(A5,Lookups!A:C,3,0)-VLOOKUP(K5,Lookups!A:B,2,0),""),0))</f>
        <v/>
      </c>
      <c r="M5" s="42" t="str">
        <f t="shared" si="2"/>
        <v/>
      </c>
      <c r="N5" s="41" t="str">
        <f>IFERROR(IF(OR(E5="",F5=""),"",IFERROR(SUM(I5/365*J5*D5*(1+'Setup &amp; Overview'!$B$31),(I5/365*L5*D5*(1+'Setup &amp; Overview'!$B$31))),"-")),"")</f>
        <v/>
      </c>
      <c r="O5" s="2"/>
    </row>
    <row r="6" spans="1:16" x14ac:dyDescent="0.3">
      <c r="A6" s="46"/>
      <c r="B6" s="79"/>
      <c r="C6" s="35"/>
      <c r="D6" s="22" t="str">
        <f t="shared" si="0"/>
        <v/>
      </c>
      <c r="E6" s="21"/>
      <c r="F6" s="21"/>
      <c r="G6" s="23" t="str">
        <f t="shared" si="1"/>
        <v/>
      </c>
      <c r="H6" s="33" t="str">
        <f>IF(OR(E6="",F6=""),"",IF(AND(E6&lt;='Setup &amp; Overview'!$B$20,F6&lt;='Setup &amp; Overview'!$B$20),INT(F6-E6+1),IF(AND(E6&lt;='Setup &amp; Overview'!$B$20,F6&gt;='Setup &amp; Overview'!$B$25),INT('Setup &amp; Overview'!$B$20-E6+1),"-")))</f>
        <v/>
      </c>
      <c r="I6" s="34" t="str">
        <f>IF(OR(E6="",F6=""),"",IF(E6&gt;'Setup &amp; Overview'!$B$25,INT(F6-E6+1),IF(F6&gt;='Setup &amp; Overview'!$B$25,INT(F6-'Setup &amp; Overview'!$B$25+1),"-")))</f>
        <v/>
      </c>
      <c r="J6" s="42" t="str">
        <f>IFERROR(VLOOKUP(A6,Lookups!A:B,2,0),"")</f>
        <v/>
      </c>
      <c r="K6" s="185"/>
      <c r="L6" s="42" t="str">
        <f>IF(A6="","",IF(ISNUMBER(SEARCH("Enhancement",A6))=TRUE,IFERROR(VLOOKUP(A6,Lookups!A:C,3,0)-VLOOKUP(K6,Lookups!A:B,2,0),""),0))</f>
        <v/>
      </c>
      <c r="M6" s="42" t="str">
        <f t="shared" si="2"/>
        <v/>
      </c>
      <c r="N6" s="41" t="str">
        <f>IFERROR(IF(OR(E6="",F6=""),"",IFERROR(SUM(I6/365*J6*D6*(1+'Setup &amp; Overview'!$B$31),(I6/365*L6*D6*(1+'Setup &amp; Overview'!$B$31))),"-")),"")</f>
        <v/>
      </c>
      <c r="O6" s="2"/>
    </row>
    <row r="7" spans="1:16" x14ac:dyDescent="0.3">
      <c r="A7" s="46"/>
      <c r="B7" s="79"/>
      <c r="C7" s="35"/>
      <c r="D7" s="22" t="str">
        <f t="shared" si="0"/>
        <v/>
      </c>
      <c r="E7" s="21"/>
      <c r="F7" s="21"/>
      <c r="G7" s="23" t="str">
        <f t="shared" si="1"/>
        <v/>
      </c>
      <c r="H7" s="33" t="str">
        <f>IF(OR(E7="",F7=""),"",IF(AND(E7&lt;='Setup &amp; Overview'!$B$20,F7&lt;='Setup &amp; Overview'!$B$20),INT(F7-E7+1),IF(AND(E7&lt;='Setup &amp; Overview'!$B$20,F7&gt;='Setup &amp; Overview'!$B$25),INT('Setup &amp; Overview'!$B$20-E7+1),"-")))</f>
        <v/>
      </c>
      <c r="I7" s="34" t="str">
        <f>IF(OR(E7="",F7=""),"",IF(E7&gt;'Setup &amp; Overview'!$B$25,INT(F7-E7+1),IF(F7&gt;='Setup &amp; Overview'!$B$25,INT(F7-'Setup &amp; Overview'!$B$25+1),"-")))</f>
        <v/>
      </c>
      <c r="J7" s="42" t="str">
        <f>IFERROR(VLOOKUP(A7,Lookups!A:B,2,0),"")</f>
        <v/>
      </c>
      <c r="K7" s="185"/>
      <c r="L7" s="42" t="str">
        <f>IF(A7="","",IF(ISNUMBER(SEARCH("Enhancement",A7))=TRUE,IFERROR(VLOOKUP(A7,Lookups!A:C,3,0)-VLOOKUP(K7,Lookups!A:B,2,0),""),0))</f>
        <v/>
      </c>
      <c r="M7" s="42" t="str">
        <f t="shared" si="2"/>
        <v/>
      </c>
      <c r="N7" s="41" t="str">
        <f>IFERROR(IF(OR(E7="",F7=""),"",IFERROR(SUM(I7/365*J7*D7*(1+'Setup &amp; Overview'!$B$31),(I7/365*L7*D7*(1+'Setup &amp; Overview'!$B$31))),"-")),"")</f>
        <v/>
      </c>
      <c r="O7" s="2"/>
    </row>
    <row r="8" spans="1:16" x14ac:dyDescent="0.3">
      <c r="A8" s="46"/>
      <c r="B8" s="79"/>
      <c r="C8" s="35"/>
      <c r="D8" s="22" t="str">
        <f t="shared" si="0"/>
        <v/>
      </c>
      <c r="E8" s="21"/>
      <c r="F8" s="21"/>
      <c r="G8" s="23" t="str">
        <f t="shared" si="1"/>
        <v/>
      </c>
      <c r="H8" s="33" t="str">
        <f>IF(OR(E8="",F8=""),"",IF(AND(E8&lt;='Setup &amp; Overview'!$B$20,F8&lt;='Setup &amp; Overview'!$B$20),INT(F8-E8+1),IF(AND(E8&lt;='Setup &amp; Overview'!$B$20,F8&gt;='Setup &amp; Overview'!$B$25),INT('Setup &amp; Overview'!$B$20-E8+1),"-")))</f>
        <v/>
      </c>
      <c r="I8" s="34" t="str">
        <f>IF(OR(E8="",F8=""),"",IF(E8&gt;'Setup &amp; Overview'!$B$25,INT(F8-E8+1),IF(F8&gt;='Setup &amp; Overview'!$B$25,INT(F8-'Setup &amp; Overview'!$B$25+1),"-")))</f>
        <v/>
      </c>
      <c r="J8" s="42" t="str">
        <f>IFERROR(VLOOKUP(A8,Lookups!A:B,2,0),"")</f>
        <v/>
      </c>
      <c r="K8" s="185"/>
      <c r="L8" s="42" t="str">
        <f>IF(A8="","",IF(ISNUMBER(SEARCH("Enhancement",A8))=TRUE,IFERROR(VLOOKUP(A8,Lookups!A:C,3,0)-VLOOKUP(K8,Lookups!A:B,2,0),""),0))</f>
        <v/>
      </c>
      <c r="M8" s="42" t="str">
        <f t="shared" si="2"/>
        <v/>
      </c>
      <c r="N8" s="41" t="str">
        <f>IFERROR(IF(OR(E8="",F8=""),"",IFERROR(SUM(I8/365*J8*D8*(1+'Setup &amp; Overview'!$B$31),(I8/365*L8*D8*(1+'Setup &amp; Overview'!$B$31))),"-")),"")</f>
        <v/>
      </c>
      <c r="O8" s="2"/>
    </row>
    <row r="9" spans="1:16" x14ac:dyDescent="0.3">
      <c r="A9" s="46"/>
      <c r="B9" s="79"/>
      <c r="C9" s="35"/>
      <c r="D9" s="22" t="str">
        <f t="shared" si="0"/>
        <v/>
      </c>
      <c r="E9" s="21"/>
      <c r="F9" s="21"/>
      <c r="G9" s="23" t="str">
        <f t="shared" si="1"/>
        <v/>
      </c>
      <c r="H9" s="33" t="str">
        <f>IF(OR(E9="",F9=""),"",IF(AND(E9&lt;='Setup &amp; Overview'!$B$20,F9&lt;='Setup &amp; Overview'!$B$20),INT(F9-E9+1),IF(AND(E9&lt;='Setup &amp; Overview'!$B$20,F9&gt;='Setup &amp; Overview'!$B$25),INT('Setup &amp; Overview'!$B$20-E9+1),"-")))</f>
        <v/>
      </c>
      <c r="I9" s="34" t="str">
        <f>IF(OR(E9="",F9=""),"",IF(E9&gt;'Setup &amp; Overview'!$B$25,INT(F9-E9+1),IF(F9&gt;='Setup &amp; Overview'!$B$25,INT(F9-'Setup &amp; Overview'!$B$25+1),"-")))</f>
        <v/>
      </c>
      <c r="J9" s="42" t="str">
        <f>IFERROR(VLOOKUP(A9,Lookups!A:B,2,0),"")</f>
        <v/>
      </c>
      <c r="K9" s="185"/>
      <c r="L9" s="42" t="str">
        <f>IF(A9="","",IF(ISNUMBER(SEARCH("Enhancement",A9))=TRUE,IFERROR(VLOOKUP(A9,Lookups!A:C,3,0)-VLOOKUP(K9,Lookups!A:B,2,0),""),0))</f>
        <v/>
      </c>
      <c r="M9" s="42" t="str">
        <f t="shared" si="2"/>
        <v/>
      </c>
      <c r="N9" s="41" t="str">
        <f>IFERROR(IF(OR(E9="",F9=""),"",IFERROR(SUM(I9/365*J9*D9*(1+'Setup &amp; Overview'!$B$31),(I9/365*L9*D9*(1+'Setup &amp; Overview'!$B$31))),"-")),"")</f>
        <v/>
      </c>
      <c r="O9" s="2"/>
    </row>
    <row r="10" spans="1:16" x14ac:dyDescent="0.3">
      <c r="A10" s="46"/>
      <c r="B10" s="79"/>
      <c r="C10" s="35"/>
      <c r="D10" s="22" t="str">
        <f t="shared" si="0"/>
        <v/>
      </c>
      <c r="E10" s="21"/>
      <c r="F10" s="21"/>
      <c r="G10" s="23" t="str">
        <f t="shared" si="1"/>
        <v/>
      </c>
      <c r="H10" s="33" t="str">
        <f>IF(OR(E10="",F10=""),"",IF(AND(E10&lt;='Setup &amp; Overview'!$B$20,F10&lt;='Setup &amp; Overview'!$B$20),INT(F10-E10+1),IF(AND(E10&lt;='Setup &amp; Overview'!$B$20,F10&gt;='Setup &amp; Overview'!$B$25),INT('Setup &amp; Overview'!$B$20-E10+1),"-")))</f>
        <v/>
      </c>
      <c r="I10" s="34" t="str">
        <f>IF(OR(E10="",F10=""),"",IF(E10&gt;'Setup &amp; Overview'!$B$25,INT(F10-E10+1),IF(F10&gt;='Setup &amp; Overview'!$B$25,INT(F10-'Setup &amp; Overview'!$B$25+1),"-")))</f>
        <v/>
      </c>
      <c r="J10" s="42" t="str">
        <f>IFERROR(VLOOKUP(A10,Lookups!A:B,2,0),"")</f>
        <v/>
      </c>
      <c r="K10" s="185"/>
      <c r="L10" s="42" t="str">
        <f>IF(A10="","",IF(ISNUMBER(SEARCH("Enhancement",A10))=TRUE,IFERROR(VLOOKUP(A10,Lookups!A:C,3,0)-VLOOKUP(K10,Lookups!A:B,2,0),""),0))</f>
        <v/>
      </c>
      <c r="M10" s="42" t="str">
        <f t="shared" si="2"/>
        <v/>
      </c>
      <c r="N10" s="41" t="str">
        <f>IFERROR(IF(OR(E10="",F10=""),"",IFERROR(SUM(I10/365*J10*D10*(1+'Setup &amp; Overview'!$B$31),(I10/365*L10*D10*(1+'Setup &amp; Overview'!$B$31))),"-")),"")</f>
        <v/>
      </c>
      <c r="O10" s="2"/>
    </row>
    <row r="11" spans="1:16" ht="14.4" customHeight="1" x14ac:dyDescent="0.3">
      <c r="A11" s="46"/>
      <c r="B11" s="79"/>
      <c r="C11" s="35"/>
      <c r="D11" s="22" t="str">
        <f t="shared" si="0"/>
        <v/>
      </c>
      <c r="E11" s="21"/>
      <c r="F11" s="21"/>
      <c r="G11" s="23" t="str">
        <f t="shared" si="1"/>
        <v/>
      </c>
      <c r="H11" s="33" t="str">
        <f>IF(OR(E11="",F11=""),"",IF(AND(E11&lt;='Setup &amp; Overview'!$B$20,F11&lt;='Setup &amp; Overview'!$B$20),INT(F11-E11+1),IF(AND(E11&lt;='Setup &amp; Overview'!$B$20,F11&gt;='Setup &amp; Overview'!$B$25),INT('Setup &amp; Overview'!$B$20-E11+1),"-")))</f>
        <v/>
      </c>
      <c r="I11" s="34" t="str">
        <f>IF(OR(E11="",F11=""),"",IF(E11&gt;'Setup &amp; Overview'!$B$25,INT(F11-E11+1),IF(F11&gt;='Setup &amp; Overview'!$B$25,INT(F11-'Setup &amp; Overview'!$B$25+1),"-")))</f>
        <v/>
      </c>
      <c r="J11" s="42" t="str">
        <f>IFERROR(VLOOKUP(A11,Lookups!A:B,2,0),"")</f>
        <v/>
      </c>
      <c r="K11" s="185"/>
      <c r="L11" s="42" t="str">
        <f>IF(A11="","",IF(ISNUMBER(SEARCH("Enhancement",A11))=TRUE,IFERROR(VLOOKUP(A11,Lookups!A:C,3,0)-VLOOKUP(K11,Lookups!A:B,2,0),""),0))</f>
        <v/>
      </c>
      <c r="M11" s="42" t="str">
        <f t="shared" si="2"/>
        <v/>
      </c>
      <c r="N11" s="41" t="str">
        <f>IFERROR(IF(OR(E11="",F11=""),"",IFERROR(SUM(I11/365*J11*D11*(1+'Setup &amp; Overview'!$B$31),(I11/365*L11*D11*(1+'Setup &amp; Overview'!$B$31))),"-")),"")</f>
        <v/>
      </c>
      <c r="O11" s="2"/>
    </row>
    <row r="12" spans="1:16" x14ac:dyDescent="0.3">
      <c r="A12" s="46"/>
      <c r="B12" s="79"/>
      <c r="C12" s="35"/>
      <c r="D12" s="22" t="str">
        <f t="shared" si="0"/>
        <v/>
      </c>
      <c r="E12" s="21"/>
      <c r="F12" s="21"/>
      <c r="G12" s="23" t="str">
        <f t="shared" si="1"/>
        <v/>
      </c>
      <c r="H12" s="33" t="str">
        <f>IF(OR(E12="",F12=""),"",IF(AND(E12&lt;='Setup &amp; Overview'!$B$20,F12&lt;='Setup &amp; Overview'!$B$20),INT(F12-E12+1),IF(AND(E12&lt;='Setup &amp; Overview'!$B$20,F12&gt;='Setup &amp; Overview'!$B$25),INT('Setup &amp; Overview'!$B$20-E12+1),"-")))</f>
        <v/>
      </c>
      <c r="I12" s="34" t="str">
        <f>IF(OR(E12="",F12=""),"",IF(E12&gt;'Setup &amp; Overview'!$B$25,INT(F12-E12+1),IF(F12&gt;='Setup &amp; Overview'!$B$25,INT(F12-'Setup &amp; Overview'!$B$25+1),"-")))</f>
        <v/>
      </c>
      <c r="J12" s="42" t="str">
        <f>IFERROR(VLOOKUP(A12,Lookups!A:B,2,0),"")</f>
        <v/>
      </c>
      <c r="K12" s="185"/>
      <c r="L12" s="42" t="str">
        <f>IF(A12="","",IF(ISNUMBER(SEARCH("Enhancement",A12))=TRUE,IFERROR(VLOOKUP(A12,Lookups!A:C,3,0)-VLOOKUP(K12,Lookups!A:B,2,0),""),0))</f>
        <v/>
      </c>
      <c r="M12" s="42" t="str">
        <f t="shared" si="2"/>
        <v/>
      </c>
      <c r="N12" s="41" t="str">
        <f>IFERROR(IF(OR(E12="",F12=""),"",IFERROR(SUM(I12/365*J12*D12*(1+'Setup &amp; Overview'!$B$31),(I12/365*L12*D12*(1+'Setup &amp; Overview'!$B$31))),"-")),"")</f>
        <v/>
      </c>
      <c r="O12" s="2"/>
    </row>
    <row r="13" spans="1:16" x14ac:dyDescent="0.3">
      <c r="A13" s="164" t="s">
        <v>243</v>
      </c>
      <c r="B13" s="79"/>
      <c r="C13" s="162"/>
      <c r="D13" s="22"/>
      <c r="E13" s="33"/>
      <c r="F13" s="33"/>
      <c r="G13" s="23"/>
      <c r="H13" s="23"/>
      <c r="I13" s="34"/>
      <c r="J13" s="157"/>
      <c r="K13" s="185"/>
      <c r="L13" s="157"/>
      <c r="M13" s="165">
        <f>SUMIF('Staffing Manual Entries'!B:B,"Teaching",'Staffing Manual Entries'!E:E)</f>
        <v>0</v>
      </c>
      <c r="N13" s="166">
        <f>SUMIF('Staffing Manual Entries'!B:B,"Teaching",'Staffing Manual Entries'!F:F)</f>
        <v>0</v>
      </c>
      <c r="O13" s="156"/>
    </row>
    <row r="14" spans="1:16" x14ac:dyDescent="0.3">
      <c r="A14" s="39" t="s">
        <v>16</v>
      </c>
      <c r="B14" s="39"/>
      <c r="C14" s="89"/>
      <c r="D14" s="39"/>
      <c r="E14" s="39"/>
      <c r="F14" s="39"/>
      <c r="G14" s="39"/>
      <c r="H14" s="60"/>
      <c r="I14" s="60"/>
      <c r="J14" s="39"/>
      <c r="K14" s="39"/>
      <c r="L14" s="39"/>
      <c r="M14" s="61">
        <f>SUBTOTAL(109,Table3[Current Financial Year Spend])</f>
        <v>0</v>
      </c>
      <c r="N14" s="125">
        <f>SUBTOTAL(109,Table3[Academic Year Spend])</f>
        <v>0</v>
      </c>
      <c r="O14" s="47"/>
    </row>
    <row r="15" spans="1:16" ht="15" customHeight="1" x14ac:dyDescent="0.3">
      <c r="M15"/>
      <c r="N15"/>
    </row>
    <row r="16" spans="1:16" ht="14.4" customHeight="1" x14ac:dyDescent="0.3">
      <c r="A16" s="66" t="s">
        <v>133</v>
      </c>
      <c r="B16" s="10"/>
      <c r="C16" s="10"/>
      <c r="D16" s="10"/>
      <c r="E16" s="10"/>
      <c r="F16" s="10"/>
      <c r="G16" s="10"/>
      <c r="H16" s="10"/>
      <c r="I16" s="10"/>
      <c r="J16" s="10"/>
      <c r="K16" s="10"/>
      <c r="L16" s="10"/>
      <c r="M16" s="10"/>
      <c r="O16" s="213" t="s">
        <v>238</v>
      </c>
      <c r="P16" s="213"/>
    </row>
    <row r="17" spans="1:16" ht="90" customHeight="1" x14ac:dyDescent="0.3">
      <c r="A17" s="76" t="s">
        <v>8</v>
      </c>
      <c r="B17" s="76" t="s">
        <v>17</v>
      </c>
      <c r="C17" s="36" t="s">
        <v>109</v>
      </c>
      <c r="D17" s="36" t="s">
        <v>15</v>
      </c>
      <c r="E17" s="72" t="s">
        <v>178</v>
      </c>
      <c r="F17" s="72" t="s">
        <v>179</v>
      </c>
      <c r="G17" s="36" t="s">
        <v>6</v>
      </c>
      <c r="H17" s="77" t="s">
        <v>93</v>
      </c>
      <c r="I17" s="78" t="s">
        <v>94</v>
      </c>
      <c r="J17" s="37" t="s">
        <v>110</v>
      </c>
      <c r="K17" s="77" t="s">
        <v>108</v>
      </c>
      <c r="L17" s="74" t="s">
        <v>236</v>
      </c>
      <c r="M17" s="75" t="s">
        <v>230</v>
      </c>
      <c r="O17" s="213"/>
      <c r="P17" s="213"/>
    </row>
    <row r="18" spans="1:16" x14ac:dyDescent="0.3">
      <c r="A18" s="20"/>
      <c r="B18" s="79"/>
      <c r="C18" s="35"/>
      <c r="D18" s="22" t="str">
        <f>IFERROR(IF(A18="","",IF(C18="","",IFERROR(C18/VLOOKUP(A18,Lookups!A:D,4,0),0))),"")</f>
        <v/>
      </c>
      <c r="E18" s="21"/>
      <c r="F18" s="21"/>
      <c r="G18" s="23" t="str">
        <f t="shared" ref="G18:G27" si="3">IFERROR(IF(OR(E18="",F18=""),"",INT(F18-E18+1)),"")</f>
        <v/>
      </c>
      <c r="H18" s="33" t="str">
        <f>IF(OR(E18="",F18=""),"",IF(AND(E18&lt;='Setup &amp; Overview'!$B$20,F18&lt;='Setup &amp; Overview'!$B$20),INT(F18-E18+1),IF(AND(E18&lt;='Setup &amp; Overview'!$B$20,F18&gt;='Setup &amp; Overview'!$B$25),INT('Setup &amp; Overview'!$B$20-E18+1),"-")))</f>
        <v/>
      </c>
      <c r="I18" s="34" t="str">
        <f>IF(OR(E18="",F18=""),"",IF(E18&gt;'Setup &amp; Overview'!$B$25,INT(F18-E18+1),IF(F18&gt;='Setup &amp; Overview'!$B$25,INT(F18-'Setup &amp; Overview'!$B$25+1),"-")))</f>
        <v/>
      </c>
      <c r="J18" s="41" t="str">
        <f>IFERROR(VLOOKUP(A18,Lookups!A:B,2,0),"")</f>
        <v/>
      </c>
      <c r="K18" s="41" t="str">
        <f t="shared" ref="K18:K27" si="4">IFERROR(IF(OR(E18="",F18=""),"",IF(H18&gt;365,365,H18)/365*J18*D18),"")</f>
        <v/>
      </c>
      <c r="L18" s="41" t="str">
        <f>IFERROR(IF(OR(E18="",F18=""),"",IFERROR(I18/365*J18*D18*(1+'Setup &amp; Overview'!$B$31),"-")),"")</f>
        <v/>
      </c>
      <c r="M18" s="48"/>
      <c r="O18" s="213"/>
      <c r="P18" s="213"/>
    </row>
    <row r="19" spans="1:16" x14ac:dyDescent="0.3">
      <c r="A19" s="20"/>
      <c r="B19" s="79"/>
      <c r="C19" s="35"/>
      <c r="D19" s="22" t="str">
        <f>IFERROR(IF(A19="","",IF(C19="","",IFERROR(C19/VLOOKUP(A19,Lookups!A:D,4,0),0))),"")</f>
        <v/>
      </c>
      <c r="E19" s="21"/>
      <c r="F19" s="21"/>
      <c r="G19" s="23" t="str">
        <f t="shared" si="3"/>
        <v/>
      </c>
      <c r="H19" s="33" t="str">
        <f>IF(OR(E19="",F19=""),"",IF(AND(E19&lt;='Setup &amp; Overview'!$B$20,F19&lt;='Setup &amp; Overview'!$B$20),INT(F19-E19+1),IF(AND(E19&lt;='Setup &amp; Overview'!$B$20,F19&gt;='Setup &amp; Overview'!$B$25),INT('Setup &amp; Overview'!$B$20-E19+1),"-")))</f>
        <v/>
      </c>
      <c r="I19" s="34" t="str">
        <f>IF(OR(E19="",F19=""),"",IF(E19&gt;'Setup &amp; Overview'!$B$25,INT(F19-E19+1),IF(F19&gt;='Setup &amp; Overview'!$B$25,INT(F19-'Setup &amp; Overview'!$B$25+1),"-")))</f>
        <v/>
      </c>
      <c r="J19" s="41" t="str">
        <f>IFERROR(VLOOKUP(A19,Lookups!A:B,2,0),"")</f>
        <v/>
      </c>
      <c r="K19" s="41" t="str">
        <f t="shared" si="4"/>
        <v/>
      </c>
      <c r="L19" s="41" t="str">
        <f>IFERROR(IF(OR(E19="",F19=""),"",IFERROR(I19/365*J19*D19*(1+'Setup &amp; Overview'!$B$31),"-")),"")</f>
        <v/>
      </c>
      <c r="M19" s="48"/>
      <c r="O19" s="213"/>
      <c r="P19" s="213"/>
    </row>
    <row r="20" spans="1:16" x14ac:dyDescent="0.3">
      <c r="A20" s="20"/>
      <c r="B20" s="79"/>
      <c r="C20" s="35"/>
      <c r="D20" s="22" t="str">
        <f>IFERROR(IF(A20="","",IF(C20="","",IFERROR(C20/VLOOKUP(A20,Lookups!A:D,4,0),0))),"")</f>
        <v/>
      </c>
      <c r="E20" s="21"/>
      <c r="F20" s="21"/>
      <c r="G20" s="23" t="str">
        <f t="shared" si="3"/>
        <v/>
      </c>
      <c r="H20" s="33" t="str">
        <f>IF(OR(E20="",F20=""),"",IF(AND(E20&lt;='Setup &amp; Overview'!$B$20,F20&lt;='Setup &amp; Overview'!$B$20),INT(F20-E20+1),IF(AND(E20&lt;='Setup &amp; Overview'!$B$20,F20&gt;='Setup &amp; Overview'!$B$25),INT('Setup &amp; Overview'!$B$20-E20+1),"-")))</f>
        <v/>
      </c>
      <c r="I20" s="34" t="str">
        <f>IF(OR(E20="",F20=""),"",IF(E20&gt;'Setup &amp; Overview'!$B$25,INT(F20-E20+1),IF(F20&gt;='Setup &amp; Overview'!$B$25,INT(F20-'Setup &amp; Overview'!$B$25+1),"-")))</f>
        <v/>
      </c>
      <c r="J20" s="42" t="str">
        <f>IFERROR(VLOOKUP(A20,Lookups!A:B,2,0),"")</f>
        <v/>
      </c>
      <c r="K20" s="41" t="str">
        <f t="shared" si="4"/>
        <v/>
      </c>
      <c r="L20" s="41" t="str">
        <f>IFERROR(IF(OR(E20="",F20=""),"",IFERROR(I20/365*J20*D20*(1+'Setup &amp; Overview'!$B$31),"-")),"")</f>
        <v/>
      </c>
      <c r="M20" s="48"/>
      <c r="O20" s="213"/>
      <c r="P20" s="213"/>
    </row>
    <row r="21" spans="1:16" x14ac:dyDescent="0.3">
      <c r="A21" s="20"/>
      <c r="B21" s="79"/>
      <c r="C21" s="35"/>
      <c r="D21" s="22" t="str">
        <f>IFERROR(IF(A21="","",IF(C21="","",IFERROR(C21/VLOOKUP(A21,Lookups!A:D,4,0),0))),"")</f>
        <v/>
      </c>
      <c r="E21" s="21"/>
      <c r="F21" s="21"/>
      <c r="G21" s="23" t="str">
        <f t="shared" si="3"/>
        <v/>
      </c>
      <c r="H21" s="33" t="str">
        <f>IF(OR(E21="",F21=""),"",IF(AND(E21&lt;='Setup &amp; Overview'!$B$20,F21&lt;='Setup &amp; Overview'!$B$20),INT(F21-E21+1),IF(AND(E21&lt;='Setup &amp; Overview'!$B$20,F21&gt;='Setup &amp; Overview'!$B$25),INT('Setup &amp; Overview'!$B$20-E21+1),"-")))</f>
        <v/>
      </c>
      <c r="I21" s="34" t="str">
        <f>IF(OR(E21="",F21=""),"",IF(E21&gt;'Setup &amp; Overview'!$B$25,INT(F21-E21+1),IF(F21&gt;='Setup &amp; Overview'!$B$25,INT(F21-'Setup &amp; Overview'!$B$25+1),"-")))</f>
        <v/>
      </c>
      <c r="J21" s="42" t="str">
        <f>IFERROR(VLOOKUP(A21,Lookups!A:B,2,0),"")</f>
        <v/>
      </c>
      <c r="K21" s="41" t="str">
        <f t="shared" si="4"/>
        <v/>
      </c>
      <c r="L21" s="41" t="str">
        <f>IFERROR(IF(OR(E21="",F21=""),"",IFERROR(I21/365*J21*D21*(1+'Setup &amp; Overview'!$B$31),"-")),"")</f>
        <v/>
      </c>
      <c r="M21" s="48"/>
      <c r="O21" s="213"/>
      <c r="P21" s="213"/>
    </row>
    <row r="22" spans="1:16" x14ac:dyDescent="0.3">
      <c r="A22" s="20"/>
      <c r="B22" s="79"/>
      <c r="C22" s="35"/>
      <c r="D22" s="22" t="str">
        <f>IFERROR(IF(A22="","",IF(C22="","",IFERROR(C22/VLOOKUP(A22,Lookups!A:D,4,0),0))),"")</f>
        <v/>
      </c>
      <c r="E22" s="21"/>
      <c r="F22" s="21"/>
      <c r="G22" s="23" t="str">
        <f t="shared" si="3"/>
        <v/>
      </c>
      <c r="H22" s="33" t="str">
        <f>IF(OR(E22="",F22=""),"",IF(AND(E22&lt;='Setup &amp; Overview'!$B$20,F22&lt;='Setup &amp; Overview'!$B$20),INT(F22-E22+1),IF(AND(E22&lt;='Setup &amp; Overview'!$B$20,F22&gt;='Setup &amp; Overview'!$B$25),INT('Setup &amp; Overview'!$B$20-E22+1),"-")))</f>
        <v/>
      </c>
      <c r="I22" s="34" t="str">
        <f>IF(OR(E22="",F22=""),"",IF(E22&gt;'Setup &amp; Overview'!$B$25,INT(F22-E22+1),IF(F22&gt;='Setup &amp; Overview'!$B$25,INT(F22-'Setup &amp; Overview'!$B$25+1),"-")))</f>
        <v/>
      </c>
      <c r="J22" s="42" t="str">
        <f>IFERROR(VLOOKUP(A22,Lookups!A:B,2,0),"")</f>
        <v/>
      </c>
      <c r="K22" s="41" t="str">
        <f t="shared" si="4"/>
        <v/>
      </c>
      <c r="L22" s="41" t="str">
        <f>IFERROR(IF(OR(E22="",F22=""),"",IFERROR(I22/365*J22*D22*(1+'Setup &amp; Overview'!$B$31),"-")),"")</f>
        <v/>
      </c>
      <c r="M22" s="48"/>
      <c r="O22" s="213"/>
      <c r="P22" s="213"/>
    </row>
    <row r="23" spans="1:16" x14ac:dyDescent="0.3">
      <c r="A23" s="20"/>
      <c r="B23" s="79"/>
      <c r="C23" s="35"/>
      <c r="D23" s="22" t="str">
        <f>IFERROR(IF(A23="","",IF(C23="","",IFERROR(C23/VLOOKUP(A23,Lookups!A:D,4,0),0))),"")</f>
        <v/>
      </c>
      <c r="E23" s="21"/>
      <c r="F23" s="21"/>
      <c r="G23" s="23" t="str">
        <f t="shared" si="3"/>
        <v/>
      </c>
      <c r="H23" s="33" t="str">
        <f>IF(OR(E23="",F23=""),"",IF(AND(E23&lt;='Setup &amp; Overview'!$B$20,F23&lt;='Setup &amp; Overview'!$B$20),INT(F23-E23+1),IF(AND(E23&lt;='Setup &amp; Overview'!$B$20,F23&gt;='Setup &amp; Overview'!$B$25),INT('Setup &amp; Overview'!$B$20-E23+1),"-")))</f>
        <v/>
      </c>
      <c r="I23" s="34" t="str">
        <f>IF(OR(E23="",F23=""),"",IF(E23&gt;'Setup &amp; Overview'!$B$25,INT(F23-E23+1),IF(F23&gt;='Setup &amp; Overview'!$B$25,INT(F23-'Setup &amp; Overview'!$B$25+1),"-")))</f>
        <v/>
      </c>
      <c r="J23" s="42" t="str">
        <f>IFERROR(VLOOKUP(A23,Lookups!A:B,2,0),"")</f>
        <v/>
      </c>
      <c r="K23" s="41" t="str">
        <f t="shared" si="4"/>
        <v/>
      </c>
      <c r="L23" s="41" t="str">
        <f>IFERROR(IF(OR(E23="",F23=""),"",IFERROR(I23/365*J23*D23*(1+'Setup &amp; Overview'!$B$31),"-")),"")</f>
        <v/>
      </c>
      <c r="M23" s="48"/>
      <c r="O23" s="213"/>
      <c r="P23" s="213"/>
    </row>
    <row r="24" spans="1:16" x14ac:dyDescent="0.3">
      <c r="A24" s="20"/>
      <c r="B24" s="79"/>
      <c r="C24" s="35"/>
      <c r="D24" s="22" t="str">
        <f>IFERROR(IF(A24="","",IF(C24="","",IFERROR(C24/VLOOKUP(A24,Lookups!A:D,4,0),0))),"")</f>
        <v/>
      </c>
      <c r="E24" s="21"/>
      <c r="F24" s="21"/>
      <c r="G24" s="23" t="str">
        <f t="shared" si="3"/>
        <v/>
      </c>
      <c r="H24" s="33" t="str">
        <f>IF(OR(E24="",F24=""),"",IF(AND(E24&lt;='Setup &amp; Overview'!$B$20,F24&lt;='Setup &amp; Overview'!$B$20),INT(F24-E24+1),IF(AND(E24&lt;='Setup &amp; Overview'!$B$20,F24&gt;='Setup &amp; Overview'!$B$25),INT('Setup &amp; Overview'!$B$20-E24+1),"-")))</f>
        <v/>
      </c>
      <c r="I24" s="34" t="str">
        <f>IF(OR(E24="",F24=""),"",IF(E24&gt;'Setup &amp; Overview'!$B$25,INT(F24-E24+1),IF(F24&gt;='Setup &amp; Overview'!$B$25,INT(F24-'Setup &amp; Overview'!$B$25+1),"-")))</f>
        <v/>
      </c>
      <c r="J24" s="42" t="str">
        <f>IFERROR(VLOOKUP(A24,Lookups!A:B,2,0),"")</f>
        <v/>
      </c>
      <c r="K24" s="41" t="str">
        <f t="shared" si="4"/>
        <v/>
      </c>
      <c r="L24" s="41" t="str">
        <f>IFERROR(IF(OR(E24="",F24=""),"",IFERROR(I24/365*J24*D24*(1+'Setup &amp; Overview'!$B$31),"-")),"")</f>
        <v/>
      </c>
      <c r="M24" s="48"/>
      <c r="O24" s="213"/>
      <c r="P24" s="213"/>
    </row>
    <row r="25" spans="1:16" x14ac:dyDescent="0.3">
      <c r="A25" s="20"/>
      <c r="B25" s="79"/>
      <c r="C25" s="35"/>
      <c r="D25" s="22" t="str">
        <f>IFERROR(IF(A25="","",IF(C25="","",IFERROR(C25/VLOOKUP(A25,Lookups!A:D,4,0),0))),"")</f>
        <v/>
      </c>
      <c r="E25" s="21"/>
      <c r="F25" s="21"/>
      <c r="G25" s="23" t="str">
        <f t="shared" si="3"/>
        <v/>
      </c>
      <c r="H25" s="33" t="str">
        <f>IF(OR(E25="",F25=""),"",IF(AND(E25&lt;='Setup &amp; Overview'!$B$20,F25&lt;='Setup &amp; Overview'!$B$20),INT(F25-E25+1),IF(AND(E25&lt;='Setup &amp; Overview'!$B$20,F25&gt;='Setup &amp; Overview'!$B$25),INT('Setup &amp; Overview'!$B$20-E25+1),"-")))</f>
        <v/>
      </c>
      <c r="I25" s="34" t="str">
        <f>IF(OR(E25="",F25=""),"",IF(E25&gt;'Setup &amp; Overview'!$B$25,INT(F25-E25+1),IF(F25&gt;='Setup &amp; Overview'!$B$25,INT(F25-'Setup &amp; Overview'!$B$25+1),"-")))</f>
        <v/>
      </c>
      <c r="J25" s="42" t="str">
        <f>IFERROR(VLOOKUP(A25,Lookups!A:B,2,0),"")</f>
        <v/>
      </c>
      <c r="K25" s="41" t="str">
        <f t="shared" si="4"/>
        <v/>
      </c>
      <c r="L25" s="41" t="str">
        <f>IFERROR(IF(OR(E25="",F25=""),"",IFERROR(I25/365*J25*D25*(1+'Setup &amp; Overview'!$B$31),"-")),"")</f>
        <v/>
      </c>
      <c r="M25" s="48"/>
      <c r="O25" s="213"/>
      <c r="P25" s="213"/>
    </row>
    <row r="26" spans="1:16" x14ac:dyDescent="0.3">
      <c r="A26" s="20"/>
      <c r="B26" s="79"/>
      <c r="C26" s="35"/>
      <c r="D26" s="22" t="str">
        <f>IFERROR(IF(A26="","",IF(C26="","",IFERROR(C26/VLOOKUP(A26,Lookups!A:D,4,0),0))),"")</f>
        <v/>
      </c>
      <c r="E26" s="21"/>
      <c r="F26" s="21"/>
      <c r="G26" s="23" t="str">
        <f t="shared" si="3"/>
        <v/>
      </c>
      <c r="H26" s="33" t="str">
        <f>IF(OR(E26="",F26=""),"",IF(AND(E26&lt;='Setup &amp; Overview'!$B$20,F26&lt;='Setup &amp; Overview'!$B$20),INT(F26-E26+1),IF(AND(E26&lt;='Setup &amp; Overview'!$B$20,F26&gt;='Setup &amp; Overview'!$B$25),INT('Setup &amp; Overview'!$B$20-E26+1),"-")))</f>
        <v/>
      </c>
      <c r="I26" s="34" t="str">
        <f>IF(OR(E26="",F26=""),"",IF(E26&gt;'Setup &amp; Overview'!$B$25,INT(F26-E26+1),IF(F26&gt;='Setup &amp; Overview'!$B$25,INT(F26-'Setup &amp; Overview'!$B$25+1),"-")))</f>
        <v/>
      </c>
      <c r="J26" s="42" t="str">
        <f>IFERROR(VLOOKUP(A26,Lookups!A:B,2,0),"")</f>
        <v/>
      </c>
      <c r="K26" s="41" t="str">
        <f t="shared" si="4"/>
        <v/>
      </c>
      <c r="L26" s="41" t="str">
        <f>IFERROR(IF(OR(E26="",F26=""),"",IFERROR(I26/365*J26*D26*(1+'Setup &amp; Overview'!$B$31),"-")),"")</f>
        <v/>
      </c>
      <c r="M26" s="48"/>
      <c r="O26" s="213"/>
      <c r="P26" s="213"/>
    </row>
    <row r="27" spans="1:16" x14ac:dyDescent="0.3">
      <c r="A27" s="20"/>
      <c r="B27" s="79"/>
      <c r="C27" s="35"/>
      <c r="D27" s="22" t="str">
        <f>IFERROR(IF(A27="","",IF(C27="","",IFERROR(C27/VLOOKUP(A27,Lookups!A:D,4,0),0))),"")</f>
        <v/>
      </c>
      <c r="E27" s="21"/>
      <c r="F27" s="21"/>
      <c r="G27" s="23" t="str">
        <f t="shared" si="3"/>
        <v/>
      </c>
      <c r="H27" s="33" t="str">
        <f>IF(OR(E27="",F27=""),"",IF(AND(E27&lt;='Setup &amp; Overview'!$B$20,F27&lt;='Setup &amp; Overview'!$B$20),INT(F27-E27+1),IF(AND(E27&lt;='Setup &amp; Overview'!$B$20,F27&gt;='Setup &amp; Overview'!$B$25),INT('Setup &amp; Overview'!$B$20-E27+1),"-")))</f>
        <v/>
      </c>
      <c r="I27" s="34" t="str">
        <f>IF(OR(E27="",F27=""),"",IF(E27&gt;'Setup &amp; Overview'!$B$25,INT(F27-E27+1),IF(F27&gt;='Setup &amp; Overview'!$B$25,INT(F27-'Setup &amp; Overview'!$B$25+1),"-")))</f>
        <v/>
      </c>
      <c r="J27" s="42" t="str">
        <f>IFERROR(VLOOKUP(A27,Lookups!A:B,2,0),"")</f>
        <v/>
      </c>
      <c r="K27" s="41" t="str">
        <f t="shared" si="4"/>
        <v/>
      </c>
      <c r="L27" s="41" t="str">
        <f>IFERROR(IF(OR(E27="",F27=""),"",IFERROR(I27/365*J27*D27*(1+'Setup &amp; Overview'!$B$31),"-")),"")</f>
        <v/>
      </c>
      <c r="M27" s="48"/>
      <c r="O27" s="213"/>
      <c r="P27" s="213"/>
    </row>
    <row r="28" spans="1:16" x14ac:dyDescent="0.3">
      <c r="A28" s="164" t="s">
        <v>243</v>
      </c>
      <c r="B28" s="79"/>
      <c r="C28" s="22"/>
      <c r="D28" s="22"/>
      <c r="E28" s="161"/>
      <c r="F28" s="161"/>
      <c r="G28" s="23"/>
      <c r="H28" s="159"/>
      <c r="I28" s="34"/>
      <c r="J28" s="42"/>
      <c r="K28" s="166">
        <f>SUMIF('Staffing Manual Entries'!B:B,"Non-Teaching",'Staffing Manual Entries'!E:E)</f>
        <v>0</v>
      </c>
      <c r="L28" s="166">
        <f>SUMIF('Staffing Manual Entries'!B:B,"Non-Teaching",'Staffing Manual Entries'!F:F)</f>
        <v>0</v>
      </c>
      <c r="M28" s="158"/>
      <c r="O28" s="213"/>
      <c r="P28" s="213"/>
    </row>
    <row r="29" spans="1:16" x14ac:dyDescent="0.3">
      <c r="A29" s="200" t="s">
        <v>7</v>
      </c>
      <c r="B29" s="200"/>
      <c r="C29" s="90"/>
      <c r="D29" s="39"/>
      <c r="E29" s="90"/>
      <c r="F29" s="90"/>
      <c r="G29" s="39"/>
      <c r="H29" s="40"/>
      <c r="I29" s="40"/>
      <c r="J29" s="43"/>
      <c r="K29" s="44">
        <f>SUBTOTAL(109,Table2[Current Financial Year Spend])</f>
        <v>0</v>
      </c>
      <c r="L29" s="44">
        <f>SUBTOTAL(109,Table2[Academic Year Spend])</f>
        <v>0</v>
      </c>
      <c r="M29" s="45"/>
      <c r="O29" s="213"/>
      <c r="P29" s="213"/>
    </row>
  </sheetData>
  <sheetProtection sheet="1" selectLockedCells="1"/>
  <mergeCells count="1">
    <mergeCell ref="O16:P29"/>
  </mergeCells>
  <dataValidations count="5">
    <dataValidation type="date" operator="greaterThanOrEqual" allowBlank="1" showInputMessage="1" showErrorMessage="1" sqref="E3:E12 E18:E27">
      <formula1>45017</formula1>
    </dataValidation>
    <dataValidation type="list" allowBlank="1" showInputMessage="1" showErrorMessage="1" sqref="A18:A27">
      <formula1>NonTeaching</formula1>
    </dataValidation>
    <dataValidation type="list" allowBlank="1" showInputMessage="1" showErrorMessage="1" sqref="A3:A12">
      <formula1>Teaching</formula1>
    </dataValidation>
    <dataValidation type="list" allowBlank="1" showInputMessage="1" showErrorMessage="1" sqref="K3:K12">
      <formula1>Basic</formula1>
    </dataValidation>
    <dataValidation type="date" operator="lessThanOrEqual" allowBlank="1" showInputMessage="1" showErrorMessage="1" sqref="F18:F27 F3:F12">
      <formula1>45520</formula1>
    </dataValidation>
  </dataValidations>
  <pageMargins left="0.70866141732283472" right="0.70866141732283472" top="0.74803149606299213" bottom="0.74803149606299213" header="0.31496062992125984" footer="0.31496062992125984"/>
  <pageSetup paperSize="9" scale="81" orientation="landscape"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Lookups!$F$2:$F$21</xm:f>
          </x14:formula1>
          <xm:sqref>B3:B13</xm:sqref>
        </x14:dataValidation>
        <x14:dataValidation type="list" allowBlank="1" showInputMessage="1" showErrorMessage="1">
          <x14:formula1>
            <xm:f>Lookups!$F$2:$F$21</xm:f>
          </x14:formula1>
          <xm:sqref>B18:B28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90" zoomScaleNormal="90" workbookViewId="0">
      <selection activeCell="C2" sqref="C2"/>
    </sheetView>
  </sheetViews>
  <sheetFormatPr defaultColWidth="0" defaultRowHeight="14.4" x14ac:dyDescent="0.3"/>
  <cols>
    <col min="1" max="1" width="27.88671875" bestFit="1" customWidth="1"/>
    <col min="2" max="2" width="25.21875" bestFit="1" customWidth="1"/>
    <col min="3" max="3" width="23.88671875" customWidth="1"/>
    <col min="4" max="4" width="59.5546875" customWidth="1"/>
    <col min="5" max="5" width="27.77734375" style="194" bestFit="1" customWidth="1"/>
    <col min="6" max="6" width="52.44140625" style="194" customWidth="1"/>
    <col min="7" max="7" width="8.88671875" customWidth="1"/>
    <col min="8" max="16384" width="8.88671875" hidden="1"/>
  </cols>
  <sheetData>
    <row r="1" spans="1:6" x14ac:dyDescent="0.3">
      <c r="A1" s="195" t="s">
        <v>244</v>
      </c>
      <c r="B1" s="196" t="s">
        <v>232</v>
      </c>
      <c r="C1" s="196" t="s">
        <v>17</v>
      </c>
      <c r="D1" s="196" t="s">
        <v>233</v>
      </c>
      <c r="E1" s="197" t="s">
        <v>108</v>
      </c>
      <c r="F1" s="198" t="s">
        <v>237</v>
      </c>
    </row>
    <row r="2" spans="1:6" x14ac:dyDescent="0.3">
      <c r="A2" s="1"/>
      <c r="B2" s="1"/>
      <c r="C2" s="1"/>
      <c r="D2" s="1"/>
      <c r="E2" s="199"/>
      <c r="F2" s="199"/>
    </row>
    <row r="3" spans="1:6" x14ac:dyDescent="0.3">
      <c r="A3" s="1"/>
      <c r="B3" s="1"/>
      <c r="C3" s="1"/>
      <c r="D3" s="1"/>
      <c r="E3" s="199"/>
      <c r="F3" s="199"/>
    </row>
    <row r="4" spans="1:6" x14ac:dyDescent="0.3">
      <c r="A4" s="1"/>
      <c r="B4" s="1"/>
      <c r="C4" s="1"/>
      <c r="D4" s="1"/>
      <c r="E4" s="199"/>
      <c r="F4" s="199"/>
    </row>
    <row r="5" spans="1:6" x14ac:dyDescent="0.3">
      <c r="A5" s="1"/>
      <c r="B5" s="1"/>
      <c r="C5" s="1"/>
      <c r="D5" s="1"/>
      <c r="E5" s="199"/>
      <c r="F5" s="199"/>
    </row>
    <row r="6" spans="1:6" x14ac:dyDescent="0.3">
      <c r="A6" s="1"/>
      <c r="B6" s="1"/>
      <c r="C6" s="1"/>
      <c r="D6" s="1"/>
      <c r="E6" s="199"/>
      <c r="F6" s="199"/>
    </row>
    <row r="7" spans="1:6" x14ac:dyDescent="0.3">
      <c r="A7" s="1"/>
      <c r="B7" s="1"/>
      <c r="C7" s="1"/>
      <c r="D7" s="1"/>
      <c r="E7" s="199"/>
      <c r="F7" s="199"/>
    </row>
    <row r="8" spans="1:6" x14ac:dyDescent="0.3">
      <c r="A8" s="1"/>
      <c r="B8" s="1"/>
      <c r="C8" s="1"/>
      <c r="D8" s="1"/>
      <c r="E8" s="199"/>
      <c r="F8" s="199"/>
    </row>
    <row r="9" spans="1:6" x14ac:dyDescent="0.3">
      <c r="A9" s="1"/>
      <c r="B9" s="1"/>
      <c r="C9" s="1"/>
      <c r="D9" s="1"/>
      <c r="E9" s="199"/>
      <c r="F9" s="199"/>
    </row>
    <row r="10" spans="1:6" x14ac:dyDescent="0.3">
      <c r="A10" s="1"/>
      <c r="B10" s="1"/>
      <c r="C10" s="1"/>
      <c r="D10" s="1"/>
      <c r="E10" s="199"/>
      <c r="F10" s="199"/>
    </row>
    <row r="11" spans="1:6" x14ac:dyDescent="0.3">
      <c r="A11" s="1"/>
      <c r="B11" s="1"/>
      <c r="C11" s="1"/>
      <c r="D11" s="1"/>
      <c r="E11" s="199"/>
      <c r="F11" s="199"/>
    </row>
    <row r="12" spans="1:6" x14ac:dyDescent="0.3">
      <c r="A12" s="1"/>
      <c r="B12" s="1"/>
      <c r="C12" s="1"/>
      <c r="D12" s="1"/>
      <c r="E12" s="199"/>
      <c r="F12" s="199"/>
    </row>
    <row r="13" spans="1:6" x14ac:dyDescent="0.3">
      <c r="A13" s="1"/>
      <c r="B13" s="1"/>
      <c r="C13" s="1"/>
      <c r="D13" s="1"/>
      <c r="E13" s="199"/>
      <c r="F13" s="199"/>
    </row>
    <row r="14" spans="1:6" x14ac:dyDescent="0.3">
      <c r="A14" s="1"/>
      <c r="B14" s="1"/>
      <c r="C14" s="1"/>
      <c r="D14" s="1"/>
      <c r="E14" s="199"/>
      <c r="F14" s="199"/>
    </row>
    <row r="15" spans="1:6" x14ac:dyDescent="0.3">
      <c r="A15" s="1"/>
      <c r="B15" s="1"/>
      <c r="C15" s="1"/>
      <c r="D15" s="1"/>
      <c r="E15" s="199"/>
      <c r="F15" s="199"/>
    </row>
    <row r="16" spans="1:6" x14ac:dyDescent="0.3">
      <c r="A16" s="1"/>
      <c r="B16" s="1"/>
      <c r="C16" s="1"/>
      <c r="D16" s="1"/>
      <c r="E16" s="199"/>
      <c r="F16" s="199"/>
    </row>
    <row r="17" spans="1:6" x14ac:dyDescent="0.3">
      <c r="A17" s="1"/>
      <c r="B17" s="1"/>
      <c r="C17" s="1"/>
      <c r="D17" s="1"/>
      <c r="E17" s="199"/>
      <c r="F17" s="199"/>
    </row>
    <row r="18" spans="1:6" x14ac:dyDescent="0.3">
      <c r="A18" s="1"/>
      <c r="B18" s="1"/>
      <c r="C18" s="1"/>
      <c r="D18" s="1"/>
      <c r="E18" s="199"/>
      <c r="F18" s="199"/>
    </row>
    <row r="19" spans="1:6" x14ac:dyDescent="0.3">
      <c r="A19" s="1"/>
      <c r="B19" s="1"/>
      <c r="C19" s="1"/>
      <c r="D19" s="1"/>
      <c r="E19" s="199"/>
      <c r="F19" s="199"/>
    </row>
    <row r="20" spans="1:6" x14ac:dyDescent="0.3">
      <c r="A20" s="1"/>
      <c r="B20" s="1"/>
      <c r="C20" s="1"/>
      <c r="D20" s="1"/>
      <c r="E20" s="199"/>
      <c r="F20" s="199"/>
    </row>
    <row r="21" spans="1:6" x14ac:dyDescent="0.3">
      <c r="A21" s="1"/>
      <c r="B21" s="1"/>
      <c r="C21" s="1"/>
      <c r="D21" s="1"/>
      <c r="E21" s="199"/>
      <c r="F21" s="199"/>
    </row>
    <row r="22" spans="1:6" x14ac:dyDescent="0.3">
      <c r="A22" s="1"/>
      <c r="B22" s="1"/>
      <c r="C22" s="1"/>
      <c r="D22" s="1"/>
      <c r="E22" s="199"/>
      <c r="F22" s="199"/>
    </row>
    <row r="23" spans="1:6" x14ac:dyDescent="0.3">
      <c r="A23" s="1"/>
      <c r="B23" s="1"/>
      <c r="C23" s="1"/>
      <c r="D23" s="1"/>
      <c r="E23" s="199"/>
      <c r="F23" s="199"/>
    </row>
    <row r="24" spans="1:6" x14ac:dyDescent="0.3">
      <c r="A24" s="1"/>
      <c r="B24" s="1"/>
      <c r="C24" s="1"/>
      <c r="D24" s="1"/>
      <c r="E24" s="199"/>
      <c r="F24" s="199"/>
    </row>
    <row r="25" spans="1:6" x14ac:dyDescent="0.3">
      <c r="A25" s="1"/>
      <c r="B25" s="1"/>
      <c r="C25" s="1"/>
      <c r="D25" s="1"/>
      <c r="E25" s="199"/>
      <c r="F25" s="199"/>
    </row>
    <row r="26" spans="1:6" x14ac:dyDescent="0.3">
      <c r="A26" s="1"/>
      <c r="B26" s="1"/>
      <c r="C26" s="1"/>
      <c r="D26" s="1"/>
      <c r="E26" s="199"/>
      <c r="F26" s="199"/>
    </row>
    <row r="27" spans="1:6" x14ac:dyDescent="0.3">
      <c r="A27" s="1"/>
      <c r="B27" s="1"/>
      <c r="C27" s="1"/>
      <c r="D27" s="1"/>
      <c r="E27" s="199"/>
      <c r="F27" s="199"/>
    </row>
    <row r="28" spans="1:6" x14ac:dyDescent="0.3">
      <c r="A28" s="1"/>
      <c r="B28" s="1"/>
      <c r="C28" s="1"/>
      <c r="D28" s="1"/>
      <c r="E28" s="199"/>
      <c r="F28" s="199"/>
    </row>
    <row r="29" spans="1:6" x14ac:dyDescent="0.3">
      <c r="A29" s="1"/>
      <c r="B29" s="1"/>
      <c r="C29" s="1"/>
      <c r="D29" s="1"/>
      <c r="E29" s="199"/>
      <c r="F29" s="199"/>
    </row>
    <row r="30" spans="1:6" x14ac:dyDescent="0.3">
      <c r="A30" s="201" t="s">
        <v>16</v>
      </c>
      <c r="B30" s="201"/>
      <c r="C30" s="201"/>
      <c r="D30" s="201"/>
      <c r="E30" s="202">
        <f>SUBTOTAL(109,Table1[Current Financial Year Spend])</f>
        <v>0</v>
      </c>
      <c r="F30" s="202">
        <f>SUBTOTAL(109,Table1[Academic Year Spend (From Previous Year Carry Forward)])</f>
        <v>0</v>
      </c>
    </row>
  </sheetData>
  <sheetProtection sheet="1" objects="1" scenarios="1" selectLockedCells="1"/>
  <dataValidations count="1">
    <dataValidation type="list" allowBlank="1" showInputMessage="1" showErrorMessage="1" sqref="B2:B29">
      <formula1>StaffType</formula1>
    </dataValidation>
  </dataValidations>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Lookups!$F$2:$F$21</xm:f>
          </x14:formula1>
          <xm:sqref>C2:C29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showGridLines="0" zoomScale="65" zoomScaleNormal="65" workbookViewId="0">
      <selection activeCell="K41" sqref="K41"/>
    </sheetView>
  </sheetViews>
  <sheetFormatPr defaultColWidth="0" defaultRowHeight="13.8" zeroHeight="1" x14ac:dyDescent="0.25"/>
  <cols>
    <col min="1" max="1" width="43.33203125" style="4" bestFit="1" customWidth="1"/>
    <col min="2" max="2" width="22.44140625" style="4" bestFit="1" customWidth="1"/>
    <col min="3" max="3" width="50.77734375" style="4" bestFit="1" customWidth="1"/>
    <col min="4" max="4" width="40.77734375" style="4" customWidth="1"/>
    <col min="5" max="5" width="30.77734375" style="28" customWidth="1"/>
    <col min="6" max="6" width="16.88671875" style="29" bestFit="1" customWidth="1"/>
    <col min="7" max="7" width="2.77734375" style="5" customWidth="1"/>
    <col min="8" max="8" width="76" style="5" customWidth="1"/>
    <col min="9" max="9" width="16" style="5" bestFit="1" customWidth="1"/>
    <col min="10" max="10" width="12.88671875" style="5" bestFit="1" customWidth="1"/>
    <col min="11" max="11" width="9.109375" style="5" customWidth="1"/>
    <col min="12" max="16384" width="9.109375" style="5" hidden="1"/>
  </cols>
  <sheetData>
    <row r="1" spans="1:10" ht="19.95" customHeight="1" x14ac:dyDescent="0.3">
      <c r="A1" s="215" t="s">
        <v>106</v>
      </c>
      <c r="B1" s="216"/>
      <c r="C1" s="216"/>
      <c r="D1" s="216"/>
      <c r="E1" s="216"/>
      <c r="F1" s="217"/>
      <c r="G1" s="1"/>
      <c r="H1" s="218" t="s">
        <v>134</v>
      </c>
      <c r="I1" s="218"/>
      <c r="J1" s="113"/>
    </row>
    <row r="2" spans="1:10" x14ac:dyDescent="0.25">
      <c r="A2" s="91" t="s">
        <v>0</v>
      </c>
      <c r="B2" s="91" t="s">
        <v>17</v>
      </c>
      <c r="C2" s="92" t="s">
        <v>173</v>
      </c>
      <c r="D2" s="92" t="s">
        <v>231</v>
      </c>
      <c r="E2" s="93" t="s">
        <v>88</v>
      </c>
      <c r="F2" s="94" t="s">
        <v>3</v>
      </c>
      <c r="G2" s="6"/>
      <c r="H2" s="97"/>
      <c r="I2" s="97"/>
      <c r="J2" s="113"/>
    </row>
    <row r="3" spans="1:10" x14ac:dyDescent="0.25">
      <c r="A3" s="124"/>
      <c r="B3" s="124"/>
      <c r="C3" s="8" t="str">
        <f>IFERROR(VLOOKUP(A3,Lookups!J:M,4,FALSE),"")</f>
        <v/>
      </c>
      <c r="D3" s="7"/>
      <c r="E3" s="192"/>
      <c r="F3" s="26"/>
      <c r="H3" s="98" t="s">
        <v>185</v>
      </c>
      <c r="I3" s="97"/>
      <c r="J3" s="113"/>
    </row>
    <row r="4" spans="1:10" x14ac:dyDescent="0.25">
      <c r="A4" s="124"/>
      <c r="B4" s="124"/>
      <c r="C4" s="8" t="str">
        <f>IFERROR(VLOOKUP(A4,Lookups!J:M,4,FALSE),"")</f>
        <v/>
      </c>
      <c r="D4" s="25"/>
      <c r="E4" s="193"/>
      <c r="F4" s="27"/>
      <c r="H4" s="97"/>
      <c r="I4" s="97"/>
      <c r="J4" s="113"/>
    </row>
    <row r="5" spans="1:10" x14ac:dyDescent="0.25">
      <c r="A5" s="124"/>
      <c r="B5" s="124"/>
      <c r="C5" s="8" t="str">
        <f>IFERROR(VLOOKUP(A5,Lookups!J:M,4,FALSE),"")</f>
        <v/>
      </c>
      <c r="D5" s="7"/>
      <c r="E5" s="192"/>
      <c r="F5" s="26"/>
      <c r="H5" s="99" t="s">
        <v>135</v>
      </c>
      <c r="I5" s="81">
        <f>'Setup &amp; Overview'!B6</f>
        <v>10000</v>
      </c>
      <c r="J5" s="113"/>
    </row>
    <row r="6" spans="1:10" ht="14.4" x14ac:dyDescent="0.3">
      <c r="A6" s="124"/>
      <c r="B6" s="124"/>
      <c r="C6" s="8" t="str">
        <f>IFERROR(VLOOKUP(A6,Lookups!J:M,4,FALSE),"")</f>
        <v/>
      </c>
      <c r="D6" s="7"/>
      <c r="E6" s="192"/>
      <c r="F6" s="26"/>
      <c r="H6" s="100"/>
      <c r="I6" s="100"/>
      <c r="J6" s="113"/>
    </row>
    <row r="7" spans="1:10" s="9" customFormat="1" ht="15" customHeight="1" x14ac:dyDescent="0.25">
      <c r="A7" s="124"/>
      <c r="B7" s="124"/>
      <c r="C7" s="8" t="str">
        <f>IFERROR(VLOOKUP(A7,Lookups!J:M,4,FALSE),"")</f>
        <v/>
      </c>
      <c r="D7" s="7"/>
      <c r="E7" s="192"/>
      <c r="F7" s="26"/>
      <c r="H7" s="214" t="s">
        <v>127</v>
      </c>
      <c r="I7" s="214"/>
      <c r="J7" s="114"/>
    </row>
    <row r="8" spans="1:10" s="9" customFormat="1" x14ac:dyDescent="0.25">
      <c r="A8" s="124"/>
      <c r="B8" s="124"/>
      <c r="C8" s="8" t="str">
        <f>IFERROR(VLOOKUP(A8,Lookups!J:M,4,FALSE),"")</f>
        <v/>
      </c>
      <c r="D8" s="7"/>
      <c r="E8" s="192"/>
      <c r="F8" s="26"/>
      <c r="H8" s="101"/>
      <c r="I8" s="101"/>
      <c r="J8" s="114"/>
    </row>
    <row r="9" spans="1:10" x14ac:dyDescent="0.25">
      <c r="A9" s="124"/>
      <c r="B9" s="124"/>
      <c r="C9" s="8" t="str">
        <f>IFERROR(VLOOKUP(A9,Lookups!J:M,4,FALSE),"")</f>
        <v/>
      </c>
      <c r="D9" s="7"/>
      <c r="E9" s="192"/>
      <c r="F9" s="26"/>
      <c r="H9" s="99" t="s">
        <v>136</v>
      </c>
      <c r="I9" s="81">
        <f>'Setup &amp; Overview'!B11</f>
        <v>60000</v>
      </c>
      <c r="J9" s="113"/>
    </row>
    <row r="10" spans="1:10" ht="14.4" x14ac:dyDescent="0.3">
      <c r="A10" s="124"/>
      <c r="B10" s="124"/>
      <c r="C10" s="8" t="str">
        <f>IFERROR(VLOOKUP(A10,Lookups!J:M,4,FALSE),"")</f>
        <v/>
      </c>
      <c r="D10" s="7"/>
      <c r="E10" s="192"/>
      <c r="F10" s="26"/>
      <c r="H10" s="100"/>
      <c r="I10" s="100"/>
      <c r="J10" s="113"/>
    </row>
    <row r="11" spans="1:10" x14ac:dyDescent="0.25">
      <c r="A11" s="124"/>
      <c r="B11" s="124"/>
      <c r="C11" s="8" t="str">
        <f>IFERROR(VLOOKUP(A11,Lookups!J:M,4,FALSE),"")</f>
        <v/>
      </c>
      <c r="D11" s="7"/>
      <c r="E11" s="192"/>
      <c r="F11" s="26"/>
      <c r="H11" s="99" t="s">
        <v>116</v>
      </c>
      <c r="I11" s="81">
        <f>SUM(I5:I9)</f>
        <v>70000</v>
      </c>
      <c r="J11" s="114"/>
    </row>
    <row r="12" spans="1:10" ht="14.4" x14ac:dyDescent="0.3">
      <c r="A12" s="124"/>
      <c r="B12" s="124"/>
      <c r="C12" s="8" t="str">
        <f>IFERROR(VLOOKUP(A12,Lookups!J:M,4,FALSE),"")</f>
        <v/>
      </c>
      <c r="D12" s="7"/>
      <c r="E12" s="192"/>
      <c r="F12" s="26"/>
      <c r="H12" s="102"/>
      <c r="I12" s="102"/>
      <c r="J12" s="114"/>
    </row>
    <row r="13" spans="1:10" x14ac:dyDescent="0.25">
      <c r="A13" s="124"/>
      <c r="B13" s="124"/>
      <c r="C13" s="8" t="str">
        <f>IFERROR(VLOOKUP(A13,Lookups!J:M,4,FALSE),"")</f>
        <v/>
      </c>
      <c r="D13" s="7"/>
      <c r="E13" s="192"/>
      <c r="F13" s="26"/>
      <c r="H13" s="103" t="s">
        <v>121</v>
      </c>
      <c r="I13" s="104"/>
      <c r="J13" s="113"/>
    </row>
    <row r="14" spans="1:10" x14ac:dyDescent="0.25">
      <c r="A14" s="124"/>
      <c r="B14" s="124"/>
      <c r="C14" s="8" t="str">
        <f>IFERROR(VLOOKUP(A14,Lookups!J:M,4,FALSE),"")</f>
        <v/>
      </c>
      <c r="D14" s="7"/>
      <c r="E14" s="192"/>
      <c r="F14" s="26"/>
      <c r="H14" s="104"/>
      <c r="I14" s="104"/>
      <c r="J14" s="113"/>
    </row>
    <row r="15" spans="1:10" x14ac:dyDescent="0.25">
      <c r="A15" s="124"/>
      <c r="B15" s="124"/>
      <c r="C15" s="8" t="str">
        <f>IFERROR(VLOOKUP(A15,Lookups!J:M,4,FALSE),"")</f>
        <v/>
      </c>
      <c r="D15" s="7"/>
      <c r="E15" s="192"/>
      <c r="F15" s="26"/>
      <c r="H15" s="105" t="str">
        <f>"Indicative staffing costs to end of"&amp;" "&amp;'Setup &amp; Overview'!B18&amp;" "&amp;"financial year:"</f>
        <v>Indicative staffing costs to end of 2023/24 financial year:</v>
      </c>
      <c r="I15" s="49">
        <f>Table2[[#Totals],[Current Financial Year Spend]]+Table3[[#Totals],[Current Financial Year Spend]]</f>
        <v>0</v>
      </c>
      <c r="J15" s="113"/>
    </row>
    <row r="16" spans="1:10" x14ac:dyDescent="0.25">
      <c r="A16" s="124"/>
      <c r="B16" s="124"/>
      <c r="C16" s="8" t="str">
        <f>IFERROR(VLOOKUP(A16,Lookups!J:M,4,FALSE),"")</f>
        <v/>
      </c>
      <c r="D16" s="7"/>
      <c r="E16" s="192"/>
      <c r="F16" s="26"/>
      <c r="H16" s="104"/>
      <c r="I16" s="104"/>
      <c r="J16" s="113"/>
    </row>
    <row r="17" spans="1:10" x14ac:dyDescent="0.25">
      <c r="A17" s="124"/>
      <c r="B17" s="124"/>
      <c r="C17" s="8" t="str">
        <f>IFERROR(VLOOKUP(A17,Lookups!J:M,4,FALSE),"")</f>
        <v/>
      </c>
      <c r="D17" s="7"/>
      <c r="E17" s="192"/>
      <c r="F17" s="26"/>
      <c r="H17" s="105" t="str">
        <f>"Indicative staffing costs in"&amp;" "&amp;'Setup &amp; Overview'!B23&amp;" "&amp;"financial year, to end of academic session:"</f>
        <v>Indicative staffing costs in 2024/25 financial year, to end of academic session:</v>
      </c>
      <c r="I17" s="49">
        <f>'Staffing Projection'!L29+'Staffing Projection'!N14</f>
        <v>0</v>
      </c>
      <c r="J17" s="113"/>
    </row>
    <row r="18" spans="1:10" x14ac:dyDescent="0.25">
      <c r="A18" s="124"/>
      <c r="B18" s="124"/>
      <c r="C18" s="8" t="str">
        <f>IFERROR(VLOOKUP(A18,Lookups!J:M,4,FALSE),"")</f>
        <v/>
      </c>
      <c r="D18" s="7"/>
      <c r="E18" s="192"/>
      <c r="F18" s="26"/>
      <c r="H18" s="104"/>
      <c r="I18" s="104"/>
      <c r="J18" s="113"/>
    </row>
    <row r="19" spans="1:10" x14ac:dyDescent="0.25">
      <c r="A19" s="124"/>
      <c r="B19" s="124"/>
      <c r="C19" s="8" t="str">
        <f>IFERROR(VLOOKUP(A19,Lookups!J:M,4,FALSE),"")</f>
        <v/>
      </c>
      <c r="D19" s="7"/>
      <c r="E19" s="192"/>
      <c r="F19" s="26"/>
      <c r="H19" s="105" t="str">
        <f>"Indicative staffing costs from "&amp;'Setup &amp; Overview'!B18&amp;" "&amp;"financial year, to end of academic session:"</f>
        <v>Indicative staffing costs from 2023/24 financial year, to end of academic session:</v>
      </c>
      <c r="I19" s="49">
        <f>I15+Table2[[#Totals],[Academic Year Spend]]+Table3[[#Totals],[Academic Year Spend]]</f>
        <v>0</v>
      </c>
      <c r="J19" s="113"/>
    </row>
    <row r="20" spans="1:10" x14ac:dyDescent="0.25">
      <c r="A20" s="124"/>
      <c r="B20" s="124"/>
      <c r="C20" s="8" t="str">
        <f>IFERROR(VLOOKUP(A20,Lookups!J:M,4,FALSE),"")</f>
        <v/>
      </c>
      <c r="D20" s="7"/>
      <c r="E20" s="192"/>
      <c r="F20" s="26"/>
      <c r="H20" s="104"/>
      <c r="I20" s="104"/>
      <c r="J20" s="113"/>
    </row>
    <row r="21" spans="1:10" x14ac:dyDescent="0.25">
      <c r="A21" s="124"/>
      <c r="B21" s="124"/>
      <c r="C21" s="8" t="str">
        <f>IFERROR(VLOOKUP(A21,Lookups!J:M,4,FALSE),"")</f>
        <v/>
      </c>
      <c r="D21" s="7"/>
      <c r="E21" s="192"/>
      <c r="F21" s="26"/>
      <c r="H21" s="103" t="s">
        <v>122</v>
      </c>
      <c r="I21" s="104"/>
      <c r="J21" s="113"/>
    </row>
    <row r="22" spans="1:10" x14ac:dyDescent="0.25">
      <c r="A22" s="124"/>
      <c r="B22" s="124"/>
      <c r="C22" s="8" t="str">
        <f>IFERROR(VLOOKUP(A22,Lookups!J:M,4,FALSE),"")</f>
        <v/>
      </c>
      <c r="D22" s="7"/>
      <c r="E22" s="192"/>
      <c r="F22" s="26"/>
      <c r="H22" s="104"/>
      <c r="I22" s="104"/>
      <c r="J22" s="113"/>
    </row>
    <row r="23" spans="1:10" x14ac:dyDescent="0.25">
      <c r="A23" s="124"/>
      <c r="B23" s="124"/>
      <c r="C23" s="8" t="str">
        <f>IFERROR(VLOOKUP(A23,Lookups!J:M,4,FALSE),"")</f>
        <v/>
      </c>
      <c r="D23" s="7"/>
      <c r="E23" s="192"/>
      <c r="F23" s="26"/>
      <c r="H23" s="106" t="s">
        <v>111</v>
      </c>
      <c r="I23" s="49">
        <f>B40</f>
        <v>0</v>
      </c>
      <c r="J23" s="113"/>
    </row>
    <row r="24" spans="1:10" x14ac:dyDescent="0.25">
      <c r="A24" s="124"/>
      <c r="B24" s="124"/>
      <c r="C24" s="8" t="str">
        <f>IFERROR(VLOOKUP(A24,Lookups!J:M,4,FALSE),"")</f>
        <v/>
      </c>
      <c r="D24" s="7"/>
      <c r="E24" s="192"/>
      <c r="F24" s="26"/>
      <c r="H24" s="101"/>
      <c r="I24" s="101"/>
      <c r="J24" s="113"/>
    </row>
    <row r="25" spans="1:10" x14ac:dyDescent="0.25">
      <c r="A25" s="124"/>
      <c r="B25" s="124"/>
      <c r="C25" s="8" t="str">
        <f>IFERROR(VLOOKUP(A25,Lookups!J:M,4,FALSE),"")</f>
        <v/>
      </c>
      <c r="D25" s="7"/>
      <c r="E25" s="192"/>
      <c r="F25" s="26"/>
      <c r="H25" s="103" t="s">
        <v>123</v>
      </c>
      <c r="I25" s="104"/>
      <c r="J25" s="113"/>
    </row>
    <row r="26" spans="1:10" x14ac:dyDescent="0.25">
      <c r="H26" s="104"/>
      <c r="I26" s="104"/>
      <c r="J26" s="113"/>
    </row>
    <row r="27" spans="1:10" x14ac:dyDescent="0.25">
      <c r="A27" s="95" t="s">
        <v>0</v>
      </c>
      <c r="B27" s="96" t="s">
        <v>4</v>
      </c>
      <c r="C27" s="95" t="s">
        <v>0</v>
      </c>
      <c r="D27" s="96" t="s">
        <v>4</v>
      </c>
      <c r="H27" s="107" t="s">
        <v>183</v>
      </c>
      <c r="I27" s="65">
        <f>'Setup &amp; Overview'!B12</f>
        <v>2500</v>
      </c>
      <c r="J27" s="113"/>
    </row>
    <row r="28" spans="1:10" x14ac:dyDescent="0.25">
      <c r="A28" s="15" t="s">
        <v>148</v>
      </c>
      <c r="B28" s="49">
        <f>SUMIF(A:A,A28,F:F)</f>
        <v>0</v>
      </c>
      <c r="C28" s="8" t="s">
        <v>159</v>
      </c>
      <c r="D28" s="49">
        <f t="shared" ref="D28:D37" si="0">SUMIF(A:A,C28,F:F)</f>
        <v>0</v>
      </c>
      <c r="H28" s="104"/>
      <c r="I28" s="104"/>
      <c r="J28" s="113"/>
    </row>
    <row r="29" spans="1:10" x14ac:dyDescent="0.25">
      <c r="A29" s="8" t="s">
        <v>149</v>
      </c>
      <c r="B29" s="49">
        <f t="shared" ref="B29:B39" si="1">SUMIF(A:A,A29,F:F)</f>
        <v>0</v>
      </c>
      <c r="C29" s="8" t="s">
        <v>160</v>
      </c>
      <c r="D29" s="49">
        <f t="shared" si="0"/>
        <v>0</v>
      </c>
      <c r="H29" s="103" t="s">
        <v>126</v>
      </c>
      <c r="I29" s="104"/>
      <c r="J29" s="113"/>
    </row>
    <row r="30" spans="1:10" ht="14.4" x14ac:dyDescent="0.3">
      <c r="A30" s="8" t="s">
        <v>150</v>
      </c>
      <c r="B30" s="49">
        <f t="shared" si="1"/>
        <v>0</v>
      </c>
      <c r="C30" s="8" t="s">
        <v>161</v>
      </c>
      <c r="D30" s="49">
        <f t="shared" si="0"/>
        <v>0</v>
      </c>
      <c r="E30"/>
      <c r="F30"/>
      <c r="H30" s="104"/>
      <c r="I30" s="104"/>
      <c r="J30" s="113"/>
    </row>
    <row r="31" spans="1:10" ht="14.4" x14ac:dyDescent="0.3">
      <c r="A31" s="8" t="s">
        <v>151</v>
      </c>
      <c r="B31" s="49">
        <f t="shared" si="1"/>
        <v>0</v>
      </c>
      <c r="C31" s="8" t="s">
        <v>162</v>
      </c>
      <c r="D31" s="49">
        <f t="shared" si="0"/>
        <v>0</v>
      </c>
      <c r="E31"/>
      <c r="F31"/>
      <c r="H31" s="105" t="str">
        <f>"Projected total spend to end of"&amp;" "&amp;'Setup &amp; Overview'!B18&amp;" "&amp;"financial year:"</f>
        <v>Projected total spend to end of 2023/24 financial year:</v>
      </c>
      <c r="I31" s="108">
        <f>SUM(I15,I23,I27)</f>
        <v>2500</v>
      </c>
      <c r="J31" s="113"/>
    </row>
    <row r="32" spans="1:10" ht="14.4" x14ac:dyDescent="0.3">
      <c r="A32" s="8" t="s">
        <v>140</v>
      </c>
      <c r="B32" s="49">
        <f t="shared" si="1"/>
        <v>0</v>
      </c>
      <c r="C32" s="8" t="s">
        <v>163</v>
      </c>
      <c r="D32" s="49">
        <f t="shared" si="0"/>
        <v>0</v>
      </c>
      <c r="E32"/>
      <c r="F32"/>
      <c r="H32" s="104"/>
      <c r="I32" s="104"/>
      <c r="J32" s="113"/>
    </row>
    <row r="33" spans="1:10" ht="14.4" x14ac:dyDescent="0.3">
      <c r="A33" s="8" t="s">
        <v>152</v>
      </c>
      <c r="B33" s="49">
        <f t="shared" si="1"/>
        <v>0</v>
      </c>
      <c r="C33" s="8" t="s">
        <v>164</v>
      </c>
      <c r="D33" s="49">
        <f t="shared" si="0"/>
        <v>0</v>
      </c>
      <c r="E33"/>
      <c r="F33"/>
      <c r="H33" s="105" t="str">
        <f>"Projected total spend from "&amp;'Setup &amp; Overview'!B18&amp;" "&amp;"financial year, to end of academic session:"</f>
        <v>Projected total spend from 2023/24 financial year, to end of academic session:</v>
      </c>
      <c r="I33" s="108">
        <f>SUM(I19,I23,I27)</f>
        <v>2500</v>
      </c>
      <c r="J33" s="113"/>
    </row>
    <row r="34" spans="1:10" ht="14.4" x14ac:dyDescent="0.3">
      <c r="A34" s="8" t="s">
        <v>153</v>
      </c>
      <c r="B34" s="49">
        <f t="shared" si="1"/>
        <v>0</v>
      </c>
      <c r="C34" s="8" t="s">
        <v>165</v>
      </c>
      <c r="D34" s="49">
        <f t="shared" si="0"/>
        <v>0</v>
      </c>
      <c r="E34"/>
      <c r="F34"/>
      <c r="H34" s="104"/>
      <c r="I34" s="104"/>
      <c r="J34" s="113"/>
    </row>
    <row r="35" spans="1:10" ht="15" customHeight="1" x14ac:dyDescent="0.3">
      <c r="A35" s="8" t="s">
        <v>154</v>
      </c>
      <c r="B35" s="49">
        <f t="shared" si="1"/>
        <v>0</v>
      </c>
      <c r="C35" s="8" t="s">
        <v>166</v>
      </c>
      <c r="D35" s="49">
        <f t="shared" si="0"/>
        <v>0</v>
      </c>
      <c r="E35"/>
      <c r="F35"/>
      <c r="H35" s="103" t="s">
        <v>124</v>
      </c>
      <c r="I35" s="104"/>
      <c r="J35" s="113"/>
    </row>
    <row r="36" spans="1:10" ht="14.4" x14ac:dyDescent="0.3">
      <c r="A36" s="8" t="s">
        <v>155</v>
      </c>
      <c r="B36" s="49">
        <f t="shared" si="1"/>
        <v>0</v>
      </c>
      <c r="C36" s="8" t="s">
        <v>171</v>
      </c>
      <c r="D36" s="49">
        <f t="shared" si="0"/>
        <v>0</v>
      </c>
      <c r="E36"/>
      <c r="F36"/>
      <c r="H36" s="104"/>
      <c r="I36" s="109"/>
      <c r="J36" s="113"/>
    </row>
    <row r="37" spans="1:10" ht="15" customHeight="1" x14ac:dyDescent="0.3">
      <c r="A37" s="8" t="s">
        <v>156</v>
      </c>
      <c r="B37" s="49">
        <f t="shared" si="1"/>
        <v>0</v>
      </c>
      <c r="C37" s="8" t="s">
        <v>167</v>
      </c>
      <c r="D37" s="49">
        <f t="shared" si="0"/>
        <v>0</v>
      </c>
      <c r="E37"/>
      <c r="F37"/>
      <c r="H37" s="110" t="str">
        <f>"Indicative remaining balance available ("&amp;'Setup &amp; Overview'!B18&amp;" "&amp;"financial year):"</f>
        <v>Indicative remaining balance available (2023/24 financial year):</v>
      </c>
      <c r="I37" s="82">
        <f>I11-I27-I15-I23</f>
        <v>67500</v>
      </c>
      <c r="J37" s="113" t="str">
        <f>IF(CEILING(I37,0.01)&gt;0,"Underspend",IF(CEILING(I37,0.01)&lt;0,"Overspend","Nil Balance"))</f>
        <v>Underspend</v>
      </c>
    </row>
    <row r="38" spans="1:10" ht="14.4" x14ac:dyDescent="0.3">
      <c r="A38" s="7" t="s">
        <v>157</v>
      </c>
      <c r="B38" s="49">
        <f t="shared" si="1"/>
        <v>0</v>
      </c>
      <c r="C38" s="7" t="s">
        <v>168</v>
      </c>
      <c r="D38" s="49">
        <f t="shared" ref="D38:D39" si="2">SUMIF(A:A,C38,F:F)</f>
        <v>0</v>
      </c>
      <c r="E38"/>
      <c r="F38"/>
      <c r="H38" s="104"/>
      <c r="I38" s="109"/>
      <c r="J38" s="113"/>
    </row>
    <row r="39" spans="1:10" ht="14.4" x14ac:dyDescent="0.3">
      <c r="A39" s="7" t="s">
        <v>158</v>
      </c>
      <c r="B39" s="49">
        <f t="shared" si="1"/>
        <v>0</v>
      </c>
      <c r="C39" s="7"/>
      <c r="D39" s="49">
        <f t="shared" si="2"/>
        <v>0</v>
      </c>
      <c r="E39"/>
      <c r="F39"/>
      <c r="H39" s="105" t="s">
        <v>125</v>
      </c>
      <c r="I39" s="111">
        <f>I37/I11</f>
        <v>0.9642857142857143</v>
      </c>
      <c r="J39" s="113"/>
    </row>
    <row r="40" spans="1:10" ht="14.4" x14ac:dyDescent="0.3">
      <c r="A40" s="123" t="s">
        <v>1</v>
      </c>
      <c r="B40" s="219">
        <f>SUM(F:F)</f>
        <v>0</v>
      </c>
      <c r="C40" s="220"/>
      <c r="D40" s="221"/>
      <c r="E40"/>
      <c r="F40"/>
      <c r="H40" s="101"/>
      <c r="I40" s="101"/>
      <c r="J40" s="113"/>
    </row>
    <row r="41" spans="1:10" ht="14.4" x14ac:dyDescent="0.3">
      <c r="C41" t="str">
        <f>IFERROR(VLOOKUP(#REF!,#REF!,2,FALSE),"")</f>
        <v/>
      </c>
      <c r="D41"/>
      <c r="E41"/>
      <c r="F41"/>
      <c r="H41" s="112" t="str">
        <f>"Indicative remaining balance available to end of "&amp;'Setup &amp; Overview'!B18&amp;" academic session):"</f>
        <v>Indicative remaining balance available to end of 2023/24 academic session):</v>
      </c>
      <c r="I41" s="82">
        <f>I11-I27-I23-I19</f>
        <v>67500</v>
      </c>
      <c r="J41" s="113" t="str">
        <f>IF(CEILING(I41,0.01)&gt;0,"Underspend",IF(CEILING(I41,0.01)&lt;0,"Overspend","Nil Balance"))</f>
        <v>Underspend</v>
      </c>
    </row>
    <row r="42" spans="1:10" ht="14.4" x14ac:dyDescent="0.3">
      <c r="C42" t="str">
        <f>IFERROR(VLOOKUP(#REF!,#REF!,2,FALSE),"")</f>
        <v/>
      </c>
      <c r="D42"/>
      <c r="E42"/>
      <c r="F42"/>
    </row>
    <row r="43" spans="1:10" ht="14.4" hidden="1" x14ac:dyDescent="0.3">
      <c r="C43" t="str">
        <f>IFERROR(VLOOKUP(#REF!,#REF!,2,FALSE),"")</f>
        <v/>
      </c>
      <c r="D43"/>
      <c r="E43"/>
      <c r="F43"/>
    </row>
    <row r="44" spans="1:10" ht="14.4" hidden="1" x14ac:dyDescent="0.3">
      <c r="C44" t="str">
        <f>IFERROR(VLOOKUP(#REF!,#REF!,2,FALSE),"")</f>
        <v/>
      </c>
      <c r="D44"/>
      <c r="E44"/>
      <c r="F44"/>
    </row>
    <row r="45" spans="1:10" ht="14.4" hidden="1" x14ac:dyDescent="0.3">
      <c r="C45" t="str">
        <f>IFERROR(VLOOKUP(#REF!,#REF!,2,FALSE),"")</f>
        <v/>
      </c>
      <c r="D45"/>
      <c r="E45"/>
      <c r="F45"/>
    </row>
    <row r="46" spans="1:10" ht="14.4" hidden="1" x14ac:dyDescent="0.3">
      <c r="C46" t="str">
        <f>IFERROR(VLOOKUP(#REF!,#REF!,2,FALSE),"")</f>
        <v/>
      </c>
      <c r="D46"/>
      <c r="E46"/>
      <c r="F46"/>
    </row>
    <row r="47" spans="1:10" ht="14.4" hidden="1" x14ac:dyDescent="0.3">
      <c r="C47" t="str">
        <f>IFERROR(VLOOKUP(#REF!,#REF!,2,FALSE),"")</f>
        <v/>
      </c>
      <c r="D47"/>
      <c r="E47"/>
      <c r="F47"/>
    </row>
    <row r="48" spans="1:10" ht="14.4" hidden="1" x14ac:dyDescent="0.3">
      <c r="C48" t="str">
        <f>IFERROR(VLOOKUP(#REF!,#REF!,2,FALSE),"")</f>
        <v/>
      </c>
      <c r="D48"/>
      <c r="E48"/>
      <c r="F48"/>
    </row>
    <row r="49" spans="1:6" ht="14.4" hidden="1" x14ac:dyDescent="0.3">
      <c r="C49" t="str">
        <f>IFERROR(VLOOKUP(#REF!,#REF!,2,FALSE),"")</f>
        <v/>
      </c>
      <c r="D49"/>
      <c r="E49"/>
      <c r="F49"/>
    </row>
    <row r="50" spans="1:6" ht="14.4" hidden="1" x14ac:dyDescent="0.3">
      <c r="A50"/>
      <c r="B50"/>
      <c r="C50" t="str">
        <f>IFERROR(VLOOKUP(A50,#REF!,2,FALSE),"")</f>
        <v/>
      </c>
      <c r="D50"/>
      <c r="E50"/>
      <c r="F50"/>
    </row>
    <row r="51" spans="1:6" ht="14.4" hidden="1" x14ac:dyDescent="0.3">
      <c r="A51"/>
      <c r="B51"/>
      <c r="C51" t="str">
        <f>IFERROR(VLOOKUP(A51,#REF!,2,FALSE),"")</f>
        <v/>
      </c>
      <c r="D51"/>
      <c r="E51"/>
      <c r="F51"/>
    </row>
    <row r="52" spans="1:6" ht="14.4" hidden="1" x14ac:dyDescent="0.3">
      <c r="A52"/>
      <c r="B52"/>
      <c r="C52" t="str">
        <f>IFERROR(VLOOKUP(A52,#REF!,2,FALSE),"")</f>
        <v/>
      </c>
      <c r="D52"/>
      <c r="E52"/>
      <c r="F52"/>
    </row>
    <row r="53" spans="1:6" ht="14.4" hidden="1" x14ac:dyDescent="0.3">
      <c r="A53"/>
      <c r="B53"/>
      <c r="C53" t="str">
        <f>IFERROR(VLOOKUP(A53,#REF!,2,FALSE),"")</f>
        <v/>
      </c>
      <c r="D53"/>
      <c r="E53"/>
      <c r="F53"/>
    </row>
    <row r="54" spans="1:6" ht="14.4" hidden="1" x14ac:dyDescent="0.3">
      <c r="A54"/>
      <c r="B54"/>
      <c r="C54" t="str">
        <f>IFERROR(VLOOKUP(A54,#REF!,2,FALSE),"")</f>
        <v/>
      </c>
      <c r="D54"/>
      <c r="E54"/>
      <c r="F54"/>
    </row>
    <row r="55" spans="1:6" ht="14.4" hidden="1" x14ac:dyDescent="0.3">
      <c r="A55"/>
      <c r="B55"/>
      <c r="C55" t="str">
        <f>IFERROR(VLOOKUP(A55,#REF!,2,FALSE),"")</f>
        <v/>
      </c>
      <c r="D55"/>
      <c r="E55"/>
      <c r="F55"/>
    </row>
    <row r="56" spans="1:6" ht="14.4" hidden="1" x14ac:dyDescent="0.3">
      <c r="A56"/>
      <c r="B56"/>
      <c r="C56" t="str">
        <f>IFERROR(VLOOKUP(A56,#REF!,2,FALSE),"")</f>
        <v/>
      </c>
      <c r="D56"/>
      <c r="E56"/>
      <c r="F56"/>
    </row>
    <row r="57" spans="1:6" ht="14.4" hidden="1" x14ac:dyDescent="0.3">
      <c r="A57"/>
      <c r="B57"/>
      <c r="C57" t="str">
        <f>IFERROR(VLOOKUP(A57,#REF!,2,FALSE),"")</f>
        <v/>
      </c>
      <c r="D57"/>
      <c r="E57"/>
      <c r="F57"/>
    </row>
  </sheetData>
  <sheetProtection sheet="1" selectLockedCells="1"/>
  <sortState ref="H19:I34">
    <sortCondition ref="H17:H32"/>
  </sortState>
  <mergeCells count="4">
    <mergeCell ref="H7:I7"/>
    <mergeCell ref="A1:F1"/>
    <mergeCell ref="H1:I1"/>
    <mergeCell ref="B40:D40"/>
  </mergeCells>
  <conditionalFormatting sqref="J37">
    <cfRule type="containsBlanks" dxfId="20" priority="5" stopIfTrue="1">
      <formula>LEN(TRIM(J37))=0</formula>
    </cfRule>
    <cfRule type="cellIs" dxfId="19" priority="6" operator="equal">
      <formula>"Underspend"</formula>
    </cfRule>
    <cfRule type="cellIs" dxfId="18" priority="7" operator="equal">
      <formula>"Nil Balance"</formula>
    </cfRule>
    <cfRule type="cellIs" dxfId="17" priority="8" operator="equal">
      <formula>"Overspend"</formula>
    </cfRule>
  </conditionalFormatting>
  <conditionalFormatting sqref="J41">
    <cfRule type="containsBlanks" dxfId="16" priority="1" stopIfTrue="1">
      <formula>LEN(TRIM(J41))=0</formula>
    </cfRule>
    <cfRule type="cellIs" dxfId="15" priority="2" operator="equal">
      <formula>"Underspend"</formula>
    </cfRule>
    <cfRule type="cellIs" dxfId="14" priority="3" operator="equal">
      <formula>"Nil Balance"</formula>
    </cfRule>
    <cfRule type="cellIs" dxfId="13" priority="4" operator="equal">
      <formula>"Overspend"</formula>
    </cfRule>
  </conditionalFormatting>
  <pageMargins left="0.70866141732283472" right="0.70866141732283472" top="0.74803149606299213" bottom="0.74803149606299213" header="0.31496062992125984" footer="0.31496062992125984"/>
  <pageSetup paperSize="9" scale="35"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showInputMessage="1" showErrorMessage="1">
          <x14:formula1>
            <xm:f>Lookups!#REF!</xm:f>
          </x14:formula1>
          <xm:sqref>A50:A56</xm:sqref>
        </x14:dataValidation>
        <x14:dataValidation type="list" showInputMessage="1" showErrorMessage="1">
          <x14:formula1>
            <xm:f>Lookups!$J$2:$J$23</xm:f>
          </x14:formula1>
          <xm:sqref>A4:A25</xm:sqref>
        </x14:dataValidation>
        <x14:dataValidation type="list" showInputMessage="1" showErrorMessage="1">
          <x14:formula1>
            <xm:f>Lookups!$J$2:$J$24</xm:f>
          </x14:formula1>
          <xm:sqref>A3</xm:sqref>
        </x14:dataValidation>
        <x14:dataValidation type="list" showInputMessage="1" showErrorMessage="1">
          <x14:formula1>
            <xm:f>Lookups!$F$2:$F$21</xm:f>
          </x14:formula1>
          <xm:sqref>B3:B25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4"/>
  <sheetViews>
    <sheetView showGridLines="0" zoomScale="60" zoomScaleNormal="60" workbookViewId="0">
      <selection activeCell="A14" sqref="A14"/>
    </sheetView>
  </sheetViews>
  <sheetFormatPr defaultColWidth="0" defaultRowHeight="15" customHeight="1" x14ac:dyDescent="0.4"/>
  <cols>
    <col min="1" max="1" width="59.88671875" style="17" customWidth="1"/>
    <col min="2" max="2" width="27.33203125" style="17" customWidth="1"/>
    <col min="3" max="3" width="24.77734375" style="17" bestFit="1" customWidth="1"/>
    <col min="4" max="4" width="15.88671875" style="17" bestFit="1" customWidth="1"/>
    <col min="5" max="5" width="27.6640625" style="17" bestFit="1" customWidth="1"/>
    <col min="6" max="6" width="24.33203125" style="17" bestFit="1" customWidth="1"/>
    <col min="7" max="7" width="17" style="17" bestFit="1" customWidth="1"/>
    <col min="8" max="8" width="15.88671875" style="17" bestFit="1" customWidth="1"/>
    <col min="9" max="9" width="11.5546875" style="17" customWidth="1"/>
    <col min="10" max="10" width="48.77734375" style="17" bestFit="1" customWidth="1"/>
    <col min="11" max="11" width="17.6640625" style="17" customWidth="1"/>
    <col min="12" max="12" width="9.21875" style="17" customWidth="1"/>
    <col min="13" max="16384" width="9.21875" style="17" hidden="1"/>
  </cols>
  <sheetData>
    <row r="1" spans="1:11" ht="40.049999999999997" customHeight="1" x14ac:dyDescent="0.4">
      <c r="A1" s="58" t="s">
        <v>172</v>
      </c>
      <c r="B1" s="51" t="s">
        <v>173</v>
      </c>
      <c r="C1" s="51" t="s">
        <v>175</v>
      </c>
      <c r="D1" s="51" t="s">
        <v>174</v>
      </c>
      <c r="E1" s="52" t="s">
        <v>180</v>
      </c>
      <c r="F1" s="52" t="s">
        <v>181</v>
      </c>
      <c r="G1" s="52" t="s">
        <v>176</v>
      </c>
      <c r="H1" s="18"/>
      <c r="I1" s="18"/>
      <c r="J1" s="222" t="str">
        <f>'Setup &amp; Overview'!B18&amp;" PEF Spend for"&amp;" "&amp;'Setup &amp; Overview'!B1</f>
        <v>2023/24 PEF Spend for Demo School</v>
      </c>
      <c r="K1" s="222"/>
    </row>
    <row r="2" spans="1:11" ht="15" customHeight="1" x14ac:dyDescent="0.4">
      <c r="A2" s="50" t="s">
        <v>145</v>
      </c>
      <c r="B2" s="53">
        <v>1134212</v>
      </c>
      <c r="C2" s="32">
        <f>SUMPRODUCT(SUMIF('Purchases &amp; Projected Spend'!$C$3:$C$25,B2&amp;" - "&amp;A2,'Purchases &amp; Projected Spend'!$F$3:$F$25))</f>
        <v>0</v>
      </c>
      <c r="D2" s="116"/>
      <c r="E2" s="120"/>
      <c r="F2" s="120"/>
      <c r="G2" s="31">
        <f t="shared" ref="G2:G15" si="0">IFERROR(IF(C2="","",C2-D2-E2-F2),"-")</f>
        <v>0</v>
      </c>
      <c r="J2" s="147"/>
      <c r="K2" s="147"/>
    </row>
    <row r="3" spans="1:11" ht="15" customHeight="1" x14ac:dyDescent="0.4">
      <c r="A3" s="50" t="s">
        <v>141</v>
      </c>
      <c r="B3" s="53">
        <v>1141323</v>
      </c>
      <c r="C3" s="32">
        <f>SUMPRODUCT(SUMIF('Purchases &amp; Projected Spend'!$C$3:$C$25,B3&amp;" - "&amp;A3,'Purchases &amp; Projected Spend'!$F$3:$F$25))</f>
        <v>0</v>
      </c>
      <c r="D3" s="116"/>
      <c r="E3" s="120"/>
      <c r="F3" s="120"/>
      <c r="G3" s="31">
        <f t="shared" si="0"/>
        <v>0</v>
      </c>
      <c r="J3" s="148" t="str">
        <f>'Setup &amp; Overview'!B18&amp;" "&amp;"Allocation"</f>
        <v>2023/24 Allocation</v>
      </c>
      <c r="K3" s="149">
        <f>'Setup &amp; Overview'!B11</f>
        <v>60000</v>
      </c>
    </row>
    <row r="4" spans="1:11" ht="15" customHeight="1" x14ac:dyDescent="0.4">
      <c r="A4" s="50" t="s">
        <v>137</v>
      </c>
      <c r="B4" s="53">
        <v>1141338</v>
      </c>
      <c r="C4" s="32">
        <f>SUMPRODUCT(SUMIF('Purchases &amp; Projected Spend'!$C$3:$C$25,B4&amp;" - "&amp;A4,'Purchases &amp; Projected Spend'!$F$3:$F$25))</f>
        <v>0</v>
      </c>
      <c r="D4" s="116"/>
      <c r="E4" s="120"/>
      <c r="F4" s="120"/>
      <c r="G4" s="31">
        <f t="shared" si="0"/>
        <v>0</v>
      </c>
      <c r="J4" s="148" t="str">
        <f>'Setup &amp; Overview'!B22&amp;" "&amp;"Financial Year Carry Forward"</f>
        <v>2022/23 Financial Year Carry Forward</v>
      </c>
      <c r="K4" s="149">
        <f>'Setup &amp; Overview'!B6</f>
        <v>10000</v>
      </c>
    </row>
    <row r="5" spans="1:11" ht="15" customHeight="1" x14ac:dyDescent="0.4">
      <c r="A5" s="50" t="s">
        <v>224</v>
      </c>
      <c r="B5" s="53">
        <v>1141340</v>
      </c>
      <c r="C5" s="32">
        <f>SUMPRODUCT(SUMIF('Purchases &amp; Projected Spend'!$C$3:$C$25,B5&amp;" - "&amp;A5,'Purchases &amp; Projected Spend'!$F$3:$F$25))</f>
        <v>0</v>
      </c>
      <c r="D5" s="116"/>
      <c r="E5" s="120"/>
      <c r="F5" s="120"/>
      <c r="G5" s="31">
        <f t="shared" si="0"/>
        <v>0</v>
      </c>
      <c r="J5" s="155" t="s">
        <v>129</v>
      </c>
      <c r="K5" s="149">
        <f>SUM(K3:K4)</f>
        <v>70000</v>
      </c>
    </row>
    <row r="6" spans="1:11" ht="15" customHeight="1" x14ac:dyDescent="0.4">
      <c r="A6" s="54" t="s">
        <v>144</v>
      </c>
      <c r="B6" s="56">
        <v>1143020</v>
      </c>
      <c r="C6" s="32">
        <f>SUMPRODUCT(SUMIF('Purchases &amp; Projected Spend'!$C$3:$C$25,B6&amp;" - "&amp;A6,'Purchases &amp; Projected Spend'!$F$3:$F$25))</f>
        <v>0</v>
      </c>
      <c r="D6" s="126"/>
      <c r="E6" s="120"/>
      <c r="F6" s="120"/>
      <c r="G6" s="31">
        <f t="shared" si="0"/>
        <v>0</v>
      </c>
      <c r="J6" s="150"/>
      <c r="K6" s="150"/>
    </row>
    <row r="7" spans="1:11" ht="15" customHeight="1" x14ac:dyDescent="0.4">
      <c r="A7" s="30" t="s">
        <v>138</v>
      </c>
      <c r="B7" s="57">
        <v>1144536</v>
      </c>
      <c r="C7" s="32">
        <f>SUMPRODUCT(SUMIF('Purchases &amp; Projected Spend'!$C$3:$C$25,B7&amp;" - "&amp;A7,'Purchases &amp; Projected Spend'!$F$3:$F$25))</f>
        <v>0</v>
      </c>
      <c r="D7" s="120"/>
      <c r="E7" s="120"/>
      <c r="F7" s="120"/>
      <c r="G7" s="31">
        <f t="shared" si="0"/>
        <v>0</v>
      </c>
      <c r="J7" s="148" t="str">
        <f>'Setup &amp; Overview'!B18&amp;" "&amp;"Planning &amp; Support Contribution"</f>
        <v>2023/24 Planning &amp; Support Contribution</v>
      </c>
      <c r="K7" s="149">
        <f>'Setup &amp; Overview'!B12</f>
        <v>2500</v>
      </c>
    </row>
    <row r="8" spans="1:11" ht="15" customHeight="1" x14ac:dyDescent="0.4">
      <c r="A8" s="30" t="s">
        <v>142</v>
      </c>
      <c r="B8" s="57">
        <v>1145236</v>
      </c>
      <c r="C8" s="32">
        <f>SUMPRODUCT(SUMIF('Purchases &amp; Projected Spend'!$C$3:$C$25,B8&amp;" - "&amp;A8,'Purchases &amp; Projected Spend'!$F$3:$F$25))</f>
        <v>0</v>
      </c>
      <c r="D8" s="120"/>
      <c r="E8" s="120"/>
      <c r="F8" s="120"/>
      <c r="G8" s="31">
        <f t="shared" si="0"/>
        <v>0</v>
      </c>
      <c r="H8"/>
      <c r="I8"/>
      <c r="J8" s="153"/>
      <c r="K8" s="154"/>
    </row>
    <row r="9" spans="1:11" ht="15" customHeight="1" x14ac:dyDescent="0.4">
      <c r="A9" s="30" t="s">
        <v>143</v>
      </c>
      <c r="B9" s="57">
        <v>1145266</v>
      </c>
      <c r="C9" s="32">
        <f>SUMPRODUCT(SUMIF('Purchases &amp; Projected Spend'!$C$3:$C$25,B9&amp;" - "&amp;A9,'Purchases &amp; Projected Spend'!$F$3:$F$25))</f>
        <v>0</v>
      </c>
      <c r="D9" s="120"/>
      <c r="E9" s="120"/>
      <c r="F9" s="120"/>
      <c r="G9" s="31">
        <f t="shared" si="0"/>
        <v>0</v>
      </c>
      <c r="J9" s="151" t="s">
        <v>112</v>
      </c>
      <c r="K9" s="152">
        <f>'Purchases &amp; Projected Spend'!I15+'Purchases &amp; Projected Spend'!I23</f>
        <v>0</v>
      </c>
    </row>
    <row r="10" spans="1:11" s="18" customFormat="1" ht="15" customHeight="1" x14ac:dyDescent="0.4">
      <c r="A10" s="30" t="s">
        <v>140</v>
      </c>
      <c r="B10" s="57">
        <v>1145271</v>
      </c>
      <c r="C10" s="32">
        <f>SUMPRODUCT(SUMIF('Purchases &amp; Projected Spend'!$C$3:$C$25,B10&amp;" - "&amp;A10,'Purchases &amp; Projected Spend'!$F$3:$F$25))</f>
        <v>0</v>
      </c>
      <c r="D10" s="120"/>
      <c r="E10" s="120"/>
      <c r="F10" s="120"/>
      <c r="G10" s="31">
        <f t="shared" si="0"/>
        <v>0</v>
      </c>
      <c r="H10" s="17"/>
      <c r="I10" s="17"/>
      <c r="J10" s="151" t="s">
        <v>187</v>
      </c>
      <c r="K10" s="152">
        <f>'Purchases &amp; Projected Spend'!I37</f>
        <v>67500</v>
      </c>
    </row>
    <row r="11" spans="1:11" ht="15" customHeight="1" x14ac:dyDescent="0.4">
      <c r="A11" s="30" t="s">
        <v>147</v>
      </c>
      <c r="B11" s="57">
        <v>1147099</v>
      </c>
      <c r="C11" s="32">
        <f>SUMPRODUCT(SUMIF('Purchases &amp; Projected Spend'!$C$3:$C$25,B11&amp;" - "&amp;A11,'Purchases &amp; Projected Spend'!$F$3:$F$25))</f>
        <v>0</v>
      </c>
      <c r="D11" s="120"/>
      <c r="E11" s="120"/>
      <c r="F11" s="120"/>
      <c r="G11" s="31">
        <f t="shared" si="0"/>
        <v>0</v>
      </c>
      <c r="J11" s="147"/>
      <c r="K11" s="147"/>
    </row>
    <row r="12" spans="1:11" ht="15" customHeight="1" x14ac:dyDescent="0.4">
      <c r="A12" s="30" t="s">
        <v>146</v>
      </c>
      <c r="B12" s="57">
        <v>1149107</v>
      </c>
      <c r="C12" s="32">
        <f>SUMPRODUCT(SUMIF('Purchases &amp; Projected Spend'!$C$3:$C$25,B12&amp;" - "&amp;A12,'Purchases &amp; Projected Spend'!$F$3:$F$25))</f>
        <v>0</v>
      </c>
      <c r="D12" s="120"/>
      <c r="E12" s="120"/>
      <c r="F12" s="120"/>
      <c r="G12" s="31">
        <f t="shared" si="0"/>
        <v>0</v>
      </c>
      <c r="J12" s="151" t="s">
        <v>113</v>
      </c>
      <c r="K12" s="152">
        <f>'Purchases &amp; Projected Spend'!I19</f>
        <v>0</v>
      </c>
    </row>
    <row r="13" spans="1:11" ht="15" customHeight="1" x14ac:dyDescent="0.4">
      <c r="A13" s="30" t="s">
        <v>139</v>
      </c>
      <c r="B13" s="57">
        <v>1159499</v>
      </c>
      <c r="C13" s="32">
        <f>SUMPRODUCT(SUMIF('Purchases &amp; Projected Spend'!$C$3:$C$25,B13&amp;" - "&amp;A13,'Purchases &amp; Projected Spend'!$F$3:$F$25))</f>
        <v>0</v>
      </c>
      <c r="D13" s="120"/>
      <c r="E13" s="120"/>
      <c r="F13" s="120"/>
      <c r="G13" s="31">
        <f t="shared" si="0"/>
        <v>0</v>
      </c>
      <c r="J13" s="151" t="s">
        <v>186</v>
      </c>
      <c r="K13" s="152">
        <f>'Purchases &amp; Projected Spend'!I41</f>
        <v>67500</v>
      </c>
    </row>
    <row r="14" spans="1:11" ht="15" customHeight="1" x14ac:dyDescent="0.4">
      <c r="A14" s="168"/>
      <c r="B14" s="169"/>
      <c r="C14" s="121"/>
      <c r="D14" s="120"/>
      <c r="E14" s="120"/>
      <c r="F14" s="120"/>
      <c r="G14" s="31" t="str">
        <f t="shared" si="0"/>
        <v/>
      </c>
      <c r="J14" s="147"/>
      <c r="K14" s="147"/>
    </row>
    <row r="15" spans="1:11" ht="15" customHeight="1" x14ac:dyDescent="0.4">
      <c r="A15" s="127"/>
      <c r="B15" s="128"/>
      <c r="C15" s="121"/>
      <c r="D15" s="120"/>
      <c r="E15" s="120"/>
      <c r="F15" s="120"/>
      <c r="G15" s="31" t="str">
        <f t="shared" si="0"/>
        <v/>
      </c>
      <c r="J15" s="226" t="s">
        <v>127</v>
      </c>
      <c r="K15" s="226"/>
    </row>
    <row r="16" spans="1:11" ht="15" customHeight="1" x14ac:dyDescent="0.4">
      <c r="A16" s="130" t="s">
        <v>16</v>
      </c>
      <c r="B16" s="131"/>
      <c r="C16" s="132">
        <f>SUBTOTAL(109,Table7[Planned Spend])</f>
        <v>0</v>
      </c>
      <c r="D16" s="129">
        <f>SUBTOTAL(109,Table7[Spent])</f>
        <v>0</v>
      </c>
      <c r="E16" s="129">
        <f>SUBTOTAL(109,Table7[PECOS
Commitments])</f>
        <v>0</v>
      </c>
      <c r="F16" s="129">
        <f>SUBTOTAL(109,Table7[Resources
Commitment])</f>
        <v>0</v>
      </c>
      <c r="G16" s="129">
        <f>SUBTOTAL(109,Table7[Projected Variance])</f>
        <v>0</v>
      </c>
      <c r="J16" s="226"/>
      <c r="K16" s="226"/>
    </row>
    <row r="17" spans="1:11" ht="4.95" customHeight="1" x14ac:dyDescent="0.4">
      <c r="A17"/>
      <c r="B17"/>
      <c r="C17"/>
      <c r="D17"/>
      <c r="E17"/>
      <c r="F17"/>
    </row>
    <row r="18" spans="1:11" ht="40.049999999999997" customHeight="1" x14ac:dyDescent="0.4">
      <c r="A18" s="59" t="s">
        <v>107</v>
      </c>
      <c r="B18" s="51" t="s">
        <v>104</v>
      </c>
      <c r="C18" s="51" t="s">
        <v>105</v>
      </c>
      <c r="D18" s="51" t="s">
        <v>128</v>
      </c>
      <c r="E18" s="51" t="s">
        <v>102</v>
      </c>
      <c r="F18" s="51" t="s">
        <v>103</v>
      </c>
      <c r="G18" s="52" t="s">
        <v>101</v>
      </c>
      <c r="H18" s="133" t="s">
        <v>13</v>
      </c>
      <c r="J18" s="223" t="s">
        <v>182</v>
      </c>
      <c r="K18" s="224">
        <f>SUM(G16,G30,G44)</f>
        <v>0</v>
      </c>
    </row>
    <row r="19" spans="1:11" ht="15" customHeight="1" thickBot="1" x14ac:dyDescent="0.45">
      <c r="A19" s="50" t="str">
        <f>IF('Staffing Projection'!A3="","",'Staffing Projection'!A3)</f>
        <v/>
      </c>
      <c r="B19" s="170" t="str">
        <f>IF('Staffing Projection'!M3="","",'Staffing Projection'!M3)</f>
        <v/>
      </c>
      <c r="C19" s="170" t="str">
        <f>IF('Staffing Projection'!N3="","",'Staffing Projection'!N3)</f>
        <v/>
      </c>
      <c r="D19" s="116"/>
      <c r="E19" s="117"/>
      <c r="F19" s="117"/>
      <c r="G19" s="174" t="str">
        <f t="shared" ref="G19:G29" si="1">IFERROR(IF(A19="","",SUM(B19:C19)-D19-E19-F19),"-")</f>
        <v/>
      </c>
      <c r="H19" s="175" t="str">
        <f>IF('Staffing Projection'!O3="","",'Staffing Projection'!O3)</f>
        <v/>
      </c>
      <c r="J19" s="223"/>
      <c r="K19" s="225"/>
    </row>
    <row r="20" spans="1:11" ht="15" customHeight="1" thickTop="1" x14ac:dyDescent="0.4">
      <c r="A20" s="50" t="str">
        <f>IF('Staffing Projection'!A4="","",'Staffing Projection'!A4)</f>
        <v/>
      </c>
      <c r="B20" s="170" t="str">
        <f>IF('Staffing Projection'!M4="","",'Staffing Projection'!M4)</f>
        <v/>
      </c>
      <c r="C20" s="170" t="str">
        <f>IF('Staffing Projection'!N4="","",'Staffing Projection'!N4)</f>
        <v/>
      </c>
      <c r="D20" s="116"/>
      <c r="E20" s="117"/>
      <c r="F20" s="117"/>
      <c r="G20" s="174" t="str">
        <f t="shared" si="1"/>
        <v/>
      </c>
      <c r="H20" s="175" t="str">
        <f>IF('Staffing Projection'!O4="","",'Staffing Projection'!O4)</f>
        <v/>
      </c>
    </row>
    <row r="21" spans="1:11" ht="15" customHeight="1" x14ac:dyDescent="0.4">
      <c r="A21" s="50" t="str">
        <f>IF('Staffing Projection'!A5="","",'Staffing Projection'!A5)</f>
        <v/>
      </c>
      <c r="B21" s="170" t="str">
        <f>IF('Staffing Projection'!M5="","",'Staffing Projection'!M5)</f>
        <v/>
      </c>
      <c r="C21" s="170" t="str">
        <f>IF('Staffing Projection'!N5="","",'Staffing Projection'!N5)</f>
        <v/>
      </c>
      <c r="D21" s="116"/>
      <c r="E21" s="117"/>
      <c r="F21" s="117"/>
      <c r="G21" s="174" t="str">
        <f t="shared" si="1"/>
        <v/>
      </c>
      <c r="H21" s="175" t="str">
        <f>IF('Staffing Projection'!O5="","",'Staffing Projection'!O5)</f>
        <v/>
      </c>
      <c r="J21" s="227" t="s">
        <v>227</v>
      </c>
      <c r="K21" s="227"/>
    </row>
    <row r="22" spans="1:11" ht="15" customHeight="1" x14ac:dyDescent="0.4">
      <c r="A22" s="50" t="str">
        <f>IF('Staffing Projection'!A6="","",'Staffing Projection'!A6)</f>
        <v/>
      </c>
      <c r="B22" s="170" t="str">
        <f>IF('Staffing Projection'!M6="","",'Staffing Projection'!M6)</f>
        <v/>
      </c>
      <c r="C22" s="170" t="str">
        <f>IF('Staffing Projection'!N6="","",'Staffing Projection'!N6)</f>
        <v/>
      </c>
      <c r="D22" s="116"/>
      <c r="E22" s="117"/>
      <c r="F22" s="117"/>
      <c r="G22" s="174" t="str">
        <f t="shared" si="1"/>
        <v/>
      </c>
      <c r="H22" s="175" t="str">
        <f>IF('Staffing Projection'!O6="","",'Staffing Projection'!O6)</f>
        <v/>
      </c>
      <c r="J22" s="186" t="s">
        <v>130</v>
      </c>
      <c r="K22" s="187">
        <v>1</v>
      </c>
    </row>
    <row r="23" spans="1:11" ht="15" customHeight="1" x14ac:dyDescent="0.4">
      <c r="A23" s="50" t="str">
        <f>IF('Staffing Projection'!A7="","",'Staffing Projection'!A7)</f>
        <v/>
      </c>
      <c r="B23" s="170" t="str">
        <f>IF('Staffing Projection'!M7="","",'Staffing Projection'!M7)</f>
        <v/>
      </c>
      <c r="C23" s="170" t="str">
        <f>IF('Staffing Projection'!N7="","",'Staffing Projection'!N7)</f>
        <v/>
      </c>
      <c r="D23" s="116"/>
      <c r="E23" s="117"/>
      <c r="F23" s="117"/>
      <c r="G23" s="174" t="str">
        <f t="shared" si="1"/>
        <v/>
      </c>
      <c r="H23" s="175" t="str">
        <f>IF('Staffing Projection'!O7="","",'Staffing Projection'!O7)</f>
        <v/>
      </c>
    </row>
    <row r="24" spans="1:11" ht="15" customHeight="1" x14ac:dyDescent="0.4">
      <c r="A24" s="50" t="str">
        <f>IF('Staffing Projection'!A8="","",'Staffing Projection'!A8)</f>
        <v/>
      </c>
      <c r="B24" s="170" t="str">
        <f>IF('Staffing Projection'!M8="","",'Staffing Projection'!M8)</f>
        <v/>
      </c>
      <c r="C24" s="170" t="str">
        <f>IF('Staffing Projection'!N8="","",'Staffing Projection'!N8)</f>
        <v/>
      </c>
      <c r="D24" s="116"/>
      <c r="E24" s="117"/>
      <c r="F24" s="117"/>
      <c r="G24" s="174" t="str">
        <f t="shared" si="1"/>
        <v/>
      </c>
      <c r="H24" s="175" t="str">
        <f>IF('Staffing Projection'!O8="","",'Staffing Projection'!O8)</f>
        <v/>
      </c>
    </row>
    <row r="25" spans="1:11" ht="15" customHeight="1" x14ac:dyDescent="0.4">
      <c r="A25" s="50" t="str">
        <f>IF('Staffing Projection'!A9="","",'Staffing Projection'!A9)</f>
        <v/>
      </c>
      <c r="B25" s="170" t="str">
        <f>IF('Staffing Projection'!M9="","",'Staffing Projection'!M9)</f>
        <v/>
      </c>
      <c r="C25" s="170" t="str">
        <f>IF('Staffing Projection'!N9="","",'Staffing Projection'!N9)</f>
        <v/>
      </c>
      <c r="D25" s="116"/>
      <c r="E25" s="117"/>
      <c r="F25" s="117"/>
      <c r="G25" s="174" t="str">
        <f t="shared" si="1"/>
        <v/>
      </c>
      <c r="H25" s="175" t="str">
        <f>IF('Staffing Projection'!O9="","",'Staffing Projection'!O9)</f>
        <v/>
      </c>
    </row>
    <row r="26" spans="1:11" ht="15" customHeight="1" x14ac:dyDescent="0.4">
      <c r="A26" s="50" t="str">
        <f>IF('Staffing Projection'!A10="","",'Staffing Projection'!A10)</f>
        <v/>
      </c>
      <c r="B26" s="170" t="str">
        <f>IF('Staffing Projection'!M10="","",'Staffing Projection'!M10)</f>
        <v/>
      </c>
      <c r="C26" s="171" t="str">
        <f>IF('Staffing Projection'!N10="","",'Staffing Projection'!N10)</f>
        <v/>
      </c>
      <c r="D26" s="118"/>
      <c r="E26" s="119"/>
      <c r="F26" s="119"/>
      <c r="G26" s="174" t="str">
        <f t="shared" si="1"/>
        <v/>
      </c>
      <c r="H26" s="175" t="str">
        <f>IF('Staffing Projection'!O10="","",'Staffing Projection'!O10)</f>
        <v/>
      </c>
    </row>
    <row r="27" spans="1:11" ht="15" customHeight="1" x14ac:dyDescent="0.4">
      <c r="A27" s="50" t="str">
        <f>IF('Staffing Projection'!A11="","",'Staffing Projection'!A11)</f>
        <v/>
      </c>
      <c r="B27" s="170" t="str">
        <f>IF('Staffing Projection'!M10="","",'Staffing Projection'!M10)</f>
        <v/>
      </c>
      <c r="C27" s="170" t="str">
        <f>IF('Staffing Projection'!N10="","",'Staffing Projection'!N10)</f>
        <v/>
      </c>
      <c r="D27" s="116"/>
      <c r="E27" s="117"/>
      <c r="F27" s="117"/>
      <c r="G27" s="174" t="str">
        <f t="shared" si="1"/>
        <v/>
      </c>
      <c r="H27" s="175" t="str">
        <f>IF('Staffing Projection'!O11="","",'Staffing Projection'!O11)</f>
        <v/>
      </c>
    </row>
    <row r="28" spans="1:11" ht="15" customHeight="1" x14ac:dyDescent="0.4">
      <c r="A28" s="50" t="str">
        <f>IF('Staffing Projection'!A12="","",'Staffing Projection'!A12)</f>
        <v/>
      </c>
      <c r="B28" s="170" t="str">
        <f>IF('Staffing Projection'!M12="","",'Staffing Projection'!M12)</f>
        <v/>
      </c>
      <c r="C28" s="172" t="str">
        <f>IF('Staffing Projection'!N12="","",'Staffing Projection'!N12)</f>
        <v/>
      </c>
      <c r="D28" s="115"/>
      <c r="E28" s="115"/>
      <c r="F28" s="115"/>
      <c r="G28" s="174" t="str">
        <f t="shared" si="1"/>
        <v/>
      </c>
      <c r="H28" s="176" t="str">
        <f>IF('Staffing Projection'!O12="","",'Staffing Projection'!O12)</f>
        <v/>
      </c>
    </row>
    <row r="29" spans="1:11" ht="15" customHeight="1" x14ac:dyDescent="0.4">
      <c r="A29" s="50" t="str">
        <f>IF('Staffing Projection'!A13="","",'Staffing Projection'!A13)</f>
        <v>Manual Entries</v>
      </c>
      <c r="B29" s="170">
        <f>IF('Staffing Projection'!M13="","",'Staffing Projection'!M13)</f>
        <v>0</v>
      </c>
      <c r="C29" s="172">
        <f>IF('Staffing Projection'!N13="","",'Staffing Projection'!N13)</f>
        <v>0</v>
      </c>
      <c r="D29" s="115"/>
      <c r="E29" s="115"/>
      <c r="F29" s="115"/>
      <c r="G29" s="174">
        <f t="shared" si="1"/>
        <v>0</v>
      </c>
      <c r="H29" s="176" t="str">
        <f>IF('Staffing Projection'!O13="","",'Staffing Projection'!O13)</f>
        <v/>
      </c>
    </row>
    <row r="30" spans="1:11" ht="15" customHeight="1" x14ac:dyDescent="0.4">
      <c r="A30" s="183" t="s">
        <v>16</v>
      </c>
      <c r="B30" s="55">
        <f>SUBTOTAL(109,Table8[Planned Spend (Current
Financial Year)])</f>
        <v>0</v>
      </c>
      <c r="C30" s="55">
        <f>SUBTOTAL(109,Table8[Planned Spend (Next
Financial Year)])</f>
        <v>0</v>
      </c>
      <c r="D30" s="177">
        <f>SUBTOTAL(109,Table8[Actual Spend])</f>
        <v>0</v>
      </c>
      <c r="E30" s="177">
        <f>SUBTOTAL(109,Table8[Payroll Commitment
(Current Financial Year)])</f>
        <v>0</v>
      </c>
      <c r="F30" s="177">
        <f>SUBTOTAL(109,Table8[Payroll Commitment
(Next Financial Year)])</f>
        <v>0</v>
      </c>
      <c r="G30" s="177">
        <f>SUBTOTAL(109,Table8[Projected
Variance])</f>
        <v>0</v>
      </c>
      <c r="H30" s="178"/>
    </row>
    <row r="31" spans="1:11" ht="4.95" customHeight="1" x14ac:dyDescent="0.4"/>
    <row r="32" spans="1:11" ht="40.049999999999997" customHeight="1" x14ac:dyDescent="0.4">
      <c r="A32" s="59" t="s">
        <v>177</v>
      </c>
      <c r="B32" s="51" t="s">
        <v>104</v>
      </c>
      <c r="C32" s="51" t="s">
        <v>105</v>
      </c>
      <c r="D32" s="51" t="s">
        <v>128</v>
      </c>
      <c r="E32" s="51" t="s">
        <v>102</v>
      </c>
      <c r="F32" s="51" t="s">
        <v>103</v>
      </c>
      <c r="G32" s="52" t="s">
        <v>101</v>
      </c>
      <c r="H32" s="133" t="s">
        <v>13</v>
      </c>
    </row>
    <row r="33" spans="1:8" ht="15" customHeight="1" x14ac:dyDescent="0.4">
      <c r="A33" s="50" t="str">
        <f>IF('Staffing Projection'!A18="","",'Staffing Projection'!A18)</f>
        <v/>
      </c>
      <c r="B33" s="170" t="str">
        <f>IF('Staffing Projection'!K18="","",'Staffing Projection'!K18)</f>
        <v/>
      </c>
      <c r="C33" s="170" t="str">
        <f>IF('Staffing Projection'!L18="","",'Staffing Projection'!L18)</f>
        <v/>
      </c>
      <c r="D33" s="120"/>
      <c r="E33" s="120"/>
      <c r="F33" s="120"/>
      <c r="G33" s="179" t="str">
        <f t="shared" ref="G33:G43" si="2">IFERROR(IF(A33="","",SUM(B33:C33)-D33-E33-F33),"-")</f>
        <v/>
      </c>
      <c r="H33" s="180" t="str">
        <f>IF('Staffing Projection'!M18="","",'Staffing Projection'!M18)</f>
        <v/>
      </c>
    </row>
    <row r="34" spans="1:8" ht="15" customHeight="1" x14ac:dyDescent="0.4">
      <c r="A34" s="160" t="str">
        <f>IF('Staffing Projection'!A19="","",'Staffing Projection'!A19)</f>
        <v/>
      </c>
      <c r="B34" s="170" t="str">
        <f>IF('Staffing Projection'!K19="","",'Staffing Projection'!K19)</f>
        <v/>
      </c>
      <c r="C34" s="170" t="str">
        <f>IF('Staffing Projection'!L19="","",'Staffing Projection'!L19)</f>
        <v/>
      </c>
      <c r="D34" s="120"/>
      <c r="E34" s="120"/>
      <c r="F34" s="120"/>
      <c r="G34" s="179" t="str">
        <f t="shared" si="2"/>
        <v/>
      </c>
      <c r="H34" s="180" t="str">
        <f>IF('Staffing Projection'!M19="","",'Staffing Projection'!M19)</f>
        <v/>
      </c>
    </row>
    <row r="35" spans="1:8" ht="15" customHeight="1" x14ac:dyDescent="0.4">
      <c r="A35" s="160" t="str">
        <f>IF('Staffing Projection'!A20="","",'Staffing Projection'!A20)</f>
        <v/>
      </c>
      <c r="B35" s="170" t="str">
        <f>IF('Staffing Projection'!K20="","",'Staffing Projection'!K20)</f>
        <v/>
      </c>
      <c r="C35" s="170" t="str">
        <f>IF('Staffing Projection'!L20="","",'Staffing Projection'!L20)</f>
        <v/>
      </c>
      <c r="D35" s="121"/>
      <c r="E35" s="120"/>
      <c r="F35" s="120"/>
      <c r="G35" s="179" t="str">
        <f t="shared" si="2"/>
        <v/>
      </c>
      <c r="H35" s="180" t="str">
        <f>IF('Staffing Projection'!M20="","",'Staffing Projection'!M20)</f>
        <v/>
      </c>
    </row>
    <row r="36" spans="1:8" ht="15" customHeight="1" x14ac:dyDescent="0.4">
      <c r="A36" s="50" t="str">
        <f>IF('Staffing Projection'!A21="","",'Staffing Projection'!A21)</f>
        <v/>
      </c>
      <c r="B36" s="170" t="str">
        <f>IF('Staffing Projection'!K21="","",'Staffing Projection'!K21)</f>
        <v/>
      </c>
      <c r="C36" s="170" t="str">
        <f>IF('Staffing Projection'!L21="","",'Staffing Projection'!L21)</f>
        <v/>
      </c>
      <c r="D36" s="120"/>
      <c r="E36" s="120"/>
      <c r="F36" s="120"/>
      <c r="G36" s="179" t="str">
        <f t="shared" si="2"/>
        <v/>
      </c>
      <c r="H36" s="180" t="str">
        <f>IF('Staffing Projection'!M21="","",'Staffing Projection'!M21)</f>
        <v/>
      </c>
    </row>
    <row r="37" spans="1:8" ht="15" customHeight="1" x14ac:dyDescent="0.4">
      <c r="A37" s="50" t="str">
        <f>IF('Staffing Projection'!A22="","",'Staffing Projection'!A22)</f>
        <v/>
      </c>
      <c r="B37" s="170" t="str">
        <f>IF('Staffing Projection'!K22="","",'Staffing Projection'!K22)</f>
        <v/>
      </c>
      <c r="C37" s="170" t="str">
        <f>IF('Staffing Projection'!L22="","",'Staffing Projection'!L22)</f>
        <v/>
      </c>
      <c r="D37" s="120"/>
      <c r="E37" s="120"/>
      <c r="F37" s="120"/>
      <c r="G37" s="179" t="str">
        <f t="shared" si="2"/>
        <v/>
      </c>
      <c r="H37" s="180" t="str">
        <f>IF('Staffing Projection'!M22="","",'Staffing Projection'!M22)</f>
        <v/>
      </c>
    </row>
    <row r="38" spans="1:8" ht="15" customHeight="1" x14ac:dyDescent="0.4">
      <c r="A38" s="50" t="str">
        <f>IF('Staffing Projection'!A23="","",'Staffing Projection'!A23)</f>
        <v/>
      </c>
      <c r="B38" s="170" t="str">
        <f>IF('Staffing Projection'!K23="","",'Staffing Projection'!K23)</f>
        <v/>
      </c>
      <c r="C38" s="170" t="str">
        <f>IF('Staffing Projection'!L23="","",'Staffing Projection'!L23)</f>
        <v/>
      </c>
      <c r="D38" s="120"/>
      <c r="E38" s="120"/>
      <c r="F38" s="120"/>
      <c r="G38" s="179" t="str">
        <f t="shared" si="2"/>
        <v/>
      </c>
      <c r="H38" s="180" t="str">
        <f>IF('Staffing Projection'!M23="","",'Staffing Projection'!M23)</f>
        <v/>
      </c>
    </row>
    <row r="39" spans="1:8" ht="15" customHeight="1" x14ac:dyDescent="0.4">
      <c r="A39" s="50" t="str">
        <f>IF('Staffing Projection'!A24="","",'Staffing Projection'!A24)</f>
        <v/>
      </c>
      <c r="B39" s="170" t="str">
        <f>IF('Staffing Projection'!K24="","",'Staffing Projection'!K24)</f>
        <v/>
      </c>
      <c r="C39" s="170" t="str">
        <f>IF('Staffing Projection'!L24="","",'Staffing Projection'!L24)</f>
        <v/>
      </c>
      <c r="D39" s="115"/>
      <c r="E39" s="115"/>
      <c r="F39" s="115"/>
      <c r="G39" s="179" t="str">
        <f t="shared" si="2"/>
        <v/>
      </c>
      <c r="H39" s="180" t="str">
        <f>IF('Staffing Projection'!M24="","",'Staffing Projection'!M24)</f>
        <v/>
      </c>
    </row>
    <row r="40" spans="1:8" ht="15" customHeight="1" x14ac:dyDescent="0.4">
      <c r="A40" s="50" t="str">
        <f>IF('Staffing Projection'!A25="","",'Staffing Projection'!A25)</f>
        <v/>
      </c>
      <c r="B40" s="170" t="str">
        <f>IF('Staffing Projection'!K25="","",'Staffing Projection'!K25)</f>
        <v/>
      </c>
      <c r="C40" s="170" t="str">
        <f>IF('Staffing Projection'!L25="","",'Staffing Projection'!L25)</f>
        <v/>
      </c>
      <c r="D40" s="115"/>
      <c r="E40" s="115"/>
      <c r="F40" s="115"/>
      <c r="G40" s="179" t="str">
        <f t="shared" si="2"/>
        <v/>
      </c>
      <c r="H40" s="180" t="str">
        <f>IF('Staffing Projection'!M25="","",'Staffing Projection'!M25)</f>
        <v/>
      </c>
    </row>
    <row r="41" spans="1:8" ht="15" customHeight="1" x14ac:dyDescent="0.4">
      <c r="A41" s="50" t="str">
        <f>IF('Staffing Projection'!A26="","",'Staffing Projection'!A26)</f>
        <v/>
      </c>
      <c r="B41" s="170" t="str">
        <f>IF('Staffing Projection'!K26="","",'Staffing Projection'!K26)</f>
        <v/>
      </c>
      <c r="C41" s="172" t="str">
        <f>IF('Staffing Projection'!L26="","",'Staffing Projection'!L26)</f>
        <v/>
      </c>
      <c r="D41" s="115"/>
      <c r="E41" s="115"/>
      <c r="F41" s="115"/>
      <c r="G41" s="174" t="str">
        <f t="shared" si="2"/>
        <v/>
      </c>
      <c r="H41" s="181" t="str">
        <f>IF('Staffing Projection'!M26="","",'Staffing Projection'!M26)</f>
        <v/>
      </c>
    </row>
    <row r="42" spans="1:8" ht="15" customHeight="1" x14ac:dyDescent="0.4">
      <c r="A42" s="50" t="str">
        <f>IF('Staffing Projection'!A27="","",'Staffing Projection'!A27)</f>
        <v/>
      </c>
      <c r="B42" s="170" t="str">
        <f>IF('Staffing Projection'!K27="","",'Staffing Projection'!K27)</f>
        <v/>
      </c>
      <c r="C42" s="172" t="str">
        <f>IF('Staffing Projection'!L27="","",'Staffing Projection'!L27)</f>
        <v/>
      </c>
      <c r="D42" s="115"/>
      <c r="E42" s="115"/>
      <c r="F42" s="115"/>
      <c r="G42" s="174" t="str">
        <f t="shared" si="2"/>
        <v/>
      </c>
      <c r="H42" s="181" t="str">
        <f>IF('Staffing Projection'!M27="","",'Staffing Projection'!M27)</f>
        <v/>
      </c>
    </row>
    <row r="43" spans="1:8" ht="15" customHeight="1" x14ac:dyDescent="0.4">
      <c r="A43" s="50" t="str">
        <f>IF('Staffing Projection'!A28="","",'Staffing Projection'!A28)</f>
        <v>Manual Entries</v>
      </c>
      <c r="B43" s="173">
        <f>IF('Staffing Projection'!K28="","",'Staffing Projection'!K28)</f>
        <v>0</v>
      </c>
      <c r="C43" s="171">
        <f>IF('Staffing Projection'!L28="","",'Staffing Projection'!L28)</f>
        <v>0</v>
      </c>
      <c r="D43" s="115"/>
      <c r="E43" s="115"/>
      <c r="F43" s="115"/>
      <c r="G43" s="182">
        <f t="shared" si="2"/>
        <v>0</v>
      </c>
      <c r="H43" s="181" t="str">
        <f>IF('Staffing Projection'!M28="","",'Staffing Projection'!M28)</f>
        <v/>
      </c>
    </row>
    <row r="44" spans="1:8" ht="15" customHeight="1" x14ac:dyDescent="0.4">
      <c r="A44" s="183" t="s">
        <v>16</v>
      </c>
      <c r="B44" s="184">
        <f>SUBTOTAL(109,Table810[Planned Spend (Current
Financial Year)])</f>
        <v>0</v>
      </c>
      <c r="C44" s="184">
        <f>SUBTOTAL(109,Table810[Planned Spend (Next
Financial Year)])</f>
        <v>0</v>
      </c>
      <c r="D44" s="177">
        <f>SUBTOTAL(109,Table810[Actual Spend])</f>
        <v>0</v>
      </c>
      <c r="E44" s="177">
        <f>SUBTOTAL(109,Table810[Payroll Commitment
(Current Financial Year)])</f>
        <v>0</v>
      </c>
      <c r="F44" s="177">
        <f>SUBTOTAL(109,Table810[Payroll Commitment
(Next Financial Year)])</f>
        <v>0</v>
      </c>
      <c r="G44" s="177">
        <f>SUBTOTAL(109,Table810[Projected
Variance])</f>
        <v>0</v>
      </c>
      <c r="H44" s="178"/>
    </row>
  </sheetData>
  <sheetProtection sheet="1" selectLockedCells="1"/>
  <mergeCells count="5">
    <mergeCell ref="J1:K1"/>
    <mergeCell ref="J18:J19"/>
    <mergeCell ref="K18:K19"/>
    <mergeCell ref="J15:K16"/>
    <mergeCell ref="J21:K21"/>
  </mergeCells>
  <pageMargins left="0.7" right="0.7" top="0.75" bottom="0.75" header="0.3" footer="0.3"/>
  <pageSetup paperSize="9"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heetViews>
  <sheetFormatPr defaultColWidth="9.109375" defaultRowHeight="14.4" x14ac:dyDescent="0.3"/>
  <cols>
    <col min="1" max="1" width="40.109375" style="10" bestFit="1" customWidth="1"/>
    <col min="2" max="2" width="29.5546875" style="11" bestFit="1" customWidth="1"/>
    <col min="3" max="3" width="23.5546875" style="11" bestFit="1" customWidth="1"/>
    <col min="4" max="4" width="18.5546875" style="14" bestFit="1" customWidth="1"/>
    <col min="5" max="5" width="7.44140625" style="10" customWidth="1"/>
    <col min="6" max="6" width="21.33203125" style="10" bestFit="1" customWidth="1"/>
    <col min="7" max="7" width="9.109375" style="10"/>
    <col min="8" max="8" width="33.21875" style="10" bestFit="1" customWidth="1"/>
    <col min="10" max="10" width="34" style="10" bestFit="1" customWidth="1"/>
    <col min="11" max="11" width="14.33203125" style="10" bestFit="1" customWidth="1"/>
    <col min="12" max="12" width="33.109375" style="10" bestFit="1" customWidth="1"/>
    <col min="13" max="13" width="42.5546875" style="10" bestFit="1" customWidth="1"/>
    <col min="14" max="16384" width="9.109375" style="10"/>
  </cols>
  <sheetData>
    <row r="1" spans="1:13" x14ac:dyDescent="0.3">
      <c r="A1" s="12" t="s">
        <v>5</v>
      </c>
      <c r="B1" s="122" t="s">
        <v>14</v>
      </c>
      <c r="C1" s="63" t="s">
        <v>225</v>
      </c>
      <c r="D1" s="64" t="s">
        <v>10</v>
      </c>
      <c r="F1" s="10" t="s">
        <v>17</v>
      </c>
      <c r="H1" s="10" t="s">
        <v>85</v>
      </c>
      <c r="J1" s="188" t="s">
        <v>0</v>
      </c>
      <c r="K1" s="189" t="s">
        <v>229</v>
      </c>
      <c r="L1" s="189" t="s">
        <v>169</v>
      </c>
      <c r="M1" s="12" t="s">
        <v>170</v>
      </c>
    </row>
    <row r="2" spans="1:13" x14ac:dyDescent="0.3">
      <c r="A2" s="13" t="s">
        <v>251</v>
      </c>
      <c r="B2" s="163">
        <v>19423.629225000004</v>
      </c>
      <c r="C2" s="163"/>
      <c r="D2" s="62" t="s">
        <v>11</v>
      </c>
      <c r="E2" s="11"/>
      <c r="F2" s="11" t="s">
        <v>32</v>
      </c>
      <c r="H2" s="10" t="s">
        <v>37</v>
      </c>
      <c r="J2" s="190" t="s">
        <v>148</v>
      </c>
      <c r="K2" s="191">
        <v>1141338</v>
      </c>
      <c r="L2" s="190" t="s">
        <v>137</v>
      </c>
      <c r="M2" s="13" t="str">
        <f t="shared" ref="M2:M24" si="0">K2&amp;" - "&amp;L2</f>
        <v>1141338 - ED - Materials</v>
      </c>
    </row>
    <row r="3" spans="1:13" x14ac:dyDescent="0.3">
      <c r="A3" s="13" t="s">
        <v>252</v>
      </c>
      <c r="B3" s="163">
        <v>19855.082997115387</v>
      </c>
      <c r="C3" s="163"/>
      <c r="D3" s="62" t="s">
        <v>11</v>
      </c>
      <c r="E3" s="11"/>
      <c r="F3" s="10" t="s">
        <v>28</v>
      </c>
      <c r="H3" s="10" t="s">
        <v>38</v>
      </c>
      <c r="J3" s="190" t="s">
        <v>149</v>
      </c>
      <c r="K3" s="191">
        <v>1141340</v>
      </c>
      <c r="L3" s="190" t="s">
        <v>224</v>
      </c>
      <c r="M3" s="13" t="str">
        <f t="shared" si="0"/>
        <v>1141340 - Class Supplies Curriculum</v>
      </c>
    </row>
    <row r="4" spans="1:13" x14ac:dyDescent="0.3">
      <c r="A4" s="13" t="s">
        <v>253</v>
      </c>
      <c r="B4" s="163">
        <v>20353.124772115392</v>
      </c>
      <c r="C4" s="163"/>
      <c r="D4" s="62" t="s">
        <v>11</v>
      </c>
      <c r="E4" s="11"/>
      <c r="F4" s="10" t="s">
        <v>20</v>
      </c>
      <c r="H4" s="10" t="s">
        <v>39</v>
      </c>
      <c r="J4" s="190" t="s">
        <v>150</v>
      </c>
      <c r="K4" s="191">
        <v>1141338</v>
      </c>
      <c r="L4" s="190" t="s">
        <v>137</v>
      </c>
      <c r="M4" s="13" t="str">
        <f t="shared" si="0"/>
        <v>1141338 - ED - Materials</v>
      </c>
    </row>
    <row r="5" spans="1:13" x14ac:dyDescent="0.3">
      <c r="A5" s="13" t="s">
        <v>254</v>
      </c>
      <c r="B5" s="163">
        <v>20901.335590384617</v>
      </c>
      <c r="C5" s="163"/>
      <c r="D5" s="62" t="s">
        <v>11</v>
      </c>
      <c r="E5" s="11"/>
      <c r="F5" s="10" t="s">
        <v>21</v>
      </c>
      <c r="H5" s="10" t="s">
        <v>40</v>
      </c>
      <c r="J5" s="190" t="s">
        <v>151</v>
      </c>
      <c r="K5" s="191">
        <v>1141338</v>
      </c>
      <c r="L5" s="190" t="s">
        <v>137</v>
      </c>
      <c r="M5" s="13" t="str">
        <f t="shared" si="0"/>
        <v>1141338 - ED - Materials</v>
      </c>
    </row>
    <row r="6" spans="1:13" x14ac:dyDescent="0.3">
      <c r="A6" s="13" t="s">
        <v>255</v>
      </c>
      <c r="B6" s="163">
        <v>21382.958405769234</v>
      </c>
      <c r="C6" s="163"/>
      <c r="D6" s="62" t="s">
        <v>11</v>
      </c>
      <c r="E6" s="11"/>
      <c r="F6" s="10" t="s">
        <v>22</v>
      </c>
      <c r="H6" s="10" t="s">
        <v>81</v>
      </c>
      <c r="J6" s="190" t="s">
        <v>140</v>
      </c>
      <c r="K6" s="191">
        <v>1145271</v>
      </c>
      <c r="L6" s="190" t="s">
        <v>140</v>
      </c>
      <c r="M6" s="13" t="str">
        <f t="shared" si="0"/>
        <v>1145271 - Computer Consumables</v>
      </c>
    </row>
    <row r="7" spans="1:13" x14ac:dyDescent="0.3">
      <c r="A7" s="13" t="s">
        <v>256</v>
      </c>
      <c r="B7" s="163">
        <v>21996.8450625</v>
      </c>
      <c r="C7" s="163"/>
      <c r="D7" s="62" t="s">
        <v>11</v>
      </c>
      <c r="E7" s="11"/>
      <c r="F7" s="11" t="s">
        <v>35</v>
      </c>
      <c r="H7" s="10" t="s">
        <v>41</v>
      </c>
      <c r="J7" s="190" t="s">
        <v>152</v>
      </c>
      <c r="K7" s="191">
        <v>1141340</v>
      </c>
      <c r="L7" s="190" t="s">
        <v>224</v>
      </c>
      <c r="M7" s="13" t="str">
        <f t="shared" si="0"/>
        <v>1141340 - Class Supplies Curriculum</v>
      </c>
    </row>
    <row r="8" spans="1:13" x14ac:dyDescent="0.3">
      <c r="A8" s="13" t="s">
        <v>239</v>
      </c>
      <c r="B8" s="163">
        <v>27995.984625000001</v>
      </c>
      <c r="C8" s="163"/>
      <c r="D8" s="62" t="s">
        <v>12</v>
      </c>
      <c r="E8" s="11"/>
      <c r="F8" s="10" t="s">
        <v>31</v>
      </c>
      <c r="H8" s="10" t="s">
        <v>42</v>
      </c>
      <c r="J8" s="190" t="s">
        <v>153</v>
      </c>
      <c r="K8" s="191">
        <v>1149107</v>
      </c>
      <c r="L8" s="190" t="s">
        <v>146</v>
      </c>
      <c r="M8" s="13" t="str">
        <f t="shared" si="0"/>
        <v>1149107 - Sport &amp; Health Development</v>
      </c>
    </row>
    <row r="9" spans="1:13" x14ac:dyDescent="0.3">
      <c r="A9" s="13" t="s">
        <v>240</v>
      </c>
      <c r="B9" s="163">
        <v>33848.265715384616</v>
      </c>
      <c r="C9" s="163"/>
      <c r="D9" s="62" t="s">
        <v>12</v>
      </c>
      <c r="E9" s="11"/>
      <c r="F9" s="11" t="s">
        <v>36</v>
      </c>
      <c r="H9" s="10" t="s">
        <v>43</v>
      </c>
      <c r="J9" s="190" t="s">
        <v>154</v>
      </c>
      <c r="K9" s="191">
        <v>1145236</v>
      </c>
      <c r="L9" s="190" t="s">
        <v>142</v>
      </c>
      <c r="M9" s="13" t="str">
        <f t="shared" si="0"/>
        <v>1145236 - Computer Equipment</v>
      </c>
    </row>
    <row r="10" spans="1:13" x14ac:dyDescent="0.3">
      <c r="A10" s="13" t="s">
        <v>241</v>
      </c>
      <c r="B10" s="163">
        <v>33848.265715384616</v>
      </c>
      <c r="C10" s="163"/>
      <c r="D10" s="62" t="s">
        <v>12</v>
      </c>
      <c r="E10" s="11"/>
      <c r="F10" s="10" t="s">
        <v>25</v>
      </c>
      <c r="H10" s="10" t="s">
        <v>44</v>
      </c>
      <c r="J10" s="190" t="s">
        <v>155</v>
      </c>
      <c r="K10" s="191">
        <v>1141340</v>
      </c>
      <c r="L10" s="190" t="s">
        <v>224</v>
      </c>
      <c r="M10" s="13" t="str">
        <f t="shared" si="0"/>
        <v>1141340 - Class Supplies Curriculum</v>
      </c>
    </row>
    <row r="11" spans="1:13" x14ac:dyDescent="0.3">
      <c r="A11" s="13" t="s">
        <v>242</v>
      </c>
      <c r="B11" s="163">
        <v>39553.029600000002</v>
      </c>
      <c r="C11" s="163"/>
      <c r="D11" s="62" t="s">
        <v>12</v>
      </c>
      <c r="E11" s="11"/>
      <c r="F11" s="11" t="s">
        <v>249</v>
      </c>
      <c r="H11" s="10" t="s">
        <v>250</v>
      </c>
      <c r="J11" s="190" t="s">
        <v>156</v>
      </c>
      <c r="K11" s="191">
        <v>1141340</v>
      </c>
      <c r="L11" s="190" t="s">
        <v>224</v>
      </c>
      <c r="M11" s="13" t="str">
        <f t="shared" si="0"/>
        <v>1141340 - Class Supplies Curriculum</v>
      </c>
    </row>
    <row r="12" spans="1:13" x14ac:dyDescent="0.3">
      <c r="A12" s="13" t="s">
        <v>219</v>
      </c>
      <c r="B12" s="163">
        <v>50994.4815668925</v>
      </c>
      <c r="C12" s="163"/>
      <c r="D12" s="62" t="s">
        <v>12</v>
      </c>
      <c r="E12" s="11"/>
      <c r="F12" s="10" t="s">
        <v>23</v>
      </c>
      <c r="H12" s="10" t="s">
        <v>75</v>
      </c>
      <c r="J12" s="190" t="s">
        <v>157</v>
      </c>
      <c r="K12" s="191">
        <v>1141340</v>
      </c>
      <c r="L12" s="190" t="s">
        <v>224</v>
      </c>
      <c r="M12" s="13" t="str">
        <f t="shared" si="0"/>
        <v>1141340 - Class Supplies Curriculum</v>
      </c>
    </row>
    <row r="13" spans="1:13" x14ac:dyDescent="0.3">
      <c r="A13" s="13" t="s">
        <v>220</v>
      </c>
      <c r="B13" s="163">
        <v>53888.235835297513</v>
      </c>
      <c r="C13" s="163"/>
      <c r="D13" s="62" t="s">
        <v>12</v>
      </c>
      <c r="E13" s="11"/>
      <c r="F13" s="11" t="s">
        <v>33</v>
      </c>
      <c r="H13" s="10" t="s">
        <v>45</v>
      </c>
      <c r="J13" s="190" t="s">
        <v>158</v>
      </c>
      <c r="K13" s="191">
        <v>1141323</v>
      </c>
      <c r="L13" s="190" t="s">
        <v>141</v>
      </c>
      <c r="M13" s="13" t="str">
        <f t="shared" si="0"/>
        <v>1141323 - Playground Equipment</v>
      </c>
    </row>
    <row r="14" spans="1:13" x14ac:dyDescent="0.3">
      <c r="A14" s="13" t="s">
        <v>221</v>
      </c>
      <c r="B14" s="163">
        <v>57017.844683572497</v>
      </c>
      <c r="C14" s="163"/>
      <c r="D14" s="62" t="s">
        <v>12</v>
      </c>
      <c r="E14" s="11"/>
      <c r="F14" s="10" t="s">
        <v>18</v>
      </c>
      <c r="H14" s="10" t="s">
        <v>46</v>
      </c>
      <c r="J14" s="190" t="s">
        <v>159</v>
      </c>
      <c r="K14" s="191">
        <v>1159499</v>
      </c>
      <c r="L14" s="190" t="s">
        <v>139</v>
      </c>
      <c r="M14" s="13" t="str">
        <f t="shared" si="0"/>
        <v>1159499 - Other Agency Payments</v>
      </c>
    </row>
    <row r="15" spans="1:13" x14ac:dyDescent="0.3">
      <c r="A15" s="13" t="s">
        <v>222</v>
      </c>
      <c r="B15" s="163">
        <v>60637.30535157751</v>
      </c>
      <c r="C15" s="163"/>
      <c r="D15" s="62" t="s">
        <v>12</v>
      </c>
      <c r="E15" s="11"/>
      <c r="F15" s="10" t="s">
        <v>19</v>
      </c>
      <c r="H15" s="10" t="s">
        <v>47</v>
      </c>
      <c r="J15" s="190" t="s">
        <v>160</v>
      </c>
      <c r="K15" s="191">
        <v>1143020</v>
      </c>
      <c r="L15" s="190" t="s">
        <v>144</v>
      </c>
      <c r="M15" s="13" t="str">
        <f t="shared" si="0"/>
        <v>1143020 - Other Copy Costs</v>
      </c>
    </row>
    <row r="16" spans="1:13" x14ac:dyDescent="0.3">
      <c r="A16" s="13" t="s">
        <v>223</v>
      </c>
      <c r="B16" s="163">
        <v>64007.304444720008</v>
      </c>
      <c r="C16" s="163"/>
      <c r="D16" s="62" t="s">
        <v>12</v>
      </c>
      <c r="E16" s="11"/>
      <c r="F16" s="10" t="s">
        <v>24</v>
      </c>
      <c r="H16" s="10" t="s">
        <v>48</v>
      </c>
      <c r="J16" s="190" t="s">
        <v>161</v>
      </c>
      <c r="K16" s="191">
        <v>1134212</v>
      </c>
      <c r="L16" s="190" t="s">
        <v>145</v>
      </c>
      <c r="M16" s="13" t="str">
        <f t="shared" si="0"/>
        <v>1134212 - ED Transport Curriculum Activities</v>
      </c>
    </row>
    <row r="17" spans="1:13" x14ac:dyDescent="0.3">
      <c r="A17" s="13" t="s">
        <v>189</v>
      </c>
      <c r="B17" s="163">
        <v>69785.741651535005</v>
      </c>
      <c r="C17" s="163"/>
      <c r="D17" s="62" t="s">
        <v>12</v>
      </c>
      <c r="E17" s="11"/>
      <c r="F17" s="10" t="s">
        <v>30</v>
      </c>
      <c r="H17" s="10" t="s">
        <v>49</v>
      </c>
      <c r="J17" s="190" t="s">
        <v>162</v>
      </c>
      <c r="K17" s="191">
        <v>1141338</v>
      </c>
      <c r="L17" s="190" t="s">
        <v>137</v>
      </c>
      <c r="M17" s="13" t="str">
        <f t="shared" si="0"/>
        <v>1141338 - ED - Materials</v>
      </c>
    </row>
    <row r="18" spans="1:13" x14ac:dyDescent="0.3">
      <c r="A18" s="13" t="s">
        <v>190</v>
      </c>
      <c r="B18" s="163">
        <v>72665.888924947518</v>
      </c>
      <c r="C18" s="163"/>
      <c r="D18" s="62" t="s">
        <v>12</v>
      </c>
      <c r="E18" s="11"/>
      <c r="F18" s="10" t="s">
        <v>27</v>
      </c>
      <c r="H18" s="10" t="s">
        <v>76</v>
      </c>
      <c r="J18" s="190" t="s">
        <v>163</v>
      </c>
      <c r="K18" s="191">
        <v>1141340</v>
      </c>
      <c r="L18" s="190" t="s">
        <v>224</v>
      </c>
      <c r="M18" s="13" t="str">
        <f t="shared" si="0"/>
        <v>1141340 - Class Supplies Curriculum</v>
      </c>
    </row>
    <row r="19" spans="1:13" x14ac:dyDescent="0.3">
      <c r="A19" s="13" t="s">
        <v>191</v>
      </c>
      <c r="B19" s="163">
        <v>75577.785853342502</v>
      </c>
      <c r="C19" s="163"/>
      <c r="D19" s="62" t="s">
        <v>12</v>
      </c>
      <c r="E19" s="11"/>
      <c r="F19" s="11" t="s">
        <v>34</v>
      </c>
      <c r="H19" s="10" t="s">
        <v>50</v>
      </c>
      <c r="J19" s="190" t="s">
        <v>164</v>
      </c>
      <c r="K19" s="191">
        <v>1145266</v>
      </c>
      <c r="L19" s="190" t="s">
        <v>143</v>
      </c>
      <c r="M19" s="13" t="str">
        <f t="shared" si="0"/>
        <v>1145266 - Software Licences</v>
      </c>
    </row>
    <row r="20" spans="1:13" x14ac:dyDescent="0.3">
      <c r="A20" s="13" t="s">
        <v>192</v>
      </c>
      <c r="B20" s="163">
        <v>78471.540121747516</v>
      </c>
      <c r="C20" s="163"/>
      <c r="D20" s="62" t="s">
        <v>12</v>
      </c>
      <c r="E20" s="11"/>
      <c r="F20" s="10" t="s">
        <v>29</v>
      </c>
      <c r="H20" s="10" t="s">
        <v>82</v>
      </c>
      <c r="J20" s="190" t="s">
        <v>165</v>
      </c>
      <c r="K20" s="191">
        <v>1149107</v>
      </c>
      <c r="L20" s="190" t="s">
        <v>146</v>
      </c>
      <c r="M20" s="13" t="str">
        <f t="shared" si="0"/>
        <v>1149107 - Sport &amp; Health Development</v>
      </c>
    </row>
    <row r="21" spans="1:13" x14ac:dyDescent="0.3">
      <c r="A21" s="13" t="s">
        <v>193</v>
      </c>
      <c r="B21" s="163">
        <v>81383.437050142515</v>
      </c>
      <c r="C21" s="163"/>
      <c r="D21" s="62" t="s">
        <v>12</v>
      </c>
      <c r="E21" s="11"/>
      <c r="F21" s="10" t="s">
        <v>26</v>
      </c>
      <c r="H21" s="10" t="s">
        <v>51</v>
      </c>
      <c r="J21" s="190" t="s">
        <v>166</v>
      </c>
      <c r="K21" s="191">
        <v>1141340</v>
      </c>
      <c r="L21" s="190" t="s">
        <v>224</v>
      </c>
      <c r="M21" s="13" t="str">
        <f t="shared" si="0"/>
        <v>1141340 - Class Supplies Curriculum</v>
      </c>
    </row>
    <row r="22" spans="1:13" x14ac:dyDescent="0.3">
      <c r="A22" s="13" t="s">
        <v>194</v>
      </c>
      <c r="B22" s="163">
        <v>84272.655653549999</v>
      </c>
      <c r="C22" s="163"/>
      <c r="D22" s="62" t="s">
        <v>12</v>
      </c>
      <c r="E22" s="11"/>
      <c r="F22" s="11"/>
      <c r="H22" s="10" t="s">
        <v>52</v>
      </c>
      <c r="J22" s="190" t="s">
        <v>171</v>
      </c>
      <c r="K22" s="191">
        <v>1147099</v>
      </c>
      <c r="L22" s="190" t="s">
        <v>147</v>
      </c>
      <c r="M22" s="13" t="str">
        <f t="shared" si="0"/>
        <v>1147099 - Subscriptions General</v>
      </c>
    </row>
    <row r="23" spans="1:13" x14ac:dyDescent="0.3">
      <c r="A23" s="13" t="s">
        <v>195</v>
      </c>
      <c r="B23" s="163">
        <v>87170.945586952512</v>
      </c>
      <c r="C23" s="163"/>
      <c r="D23" s="62" t="s">
        <v>12</v>
      </c>
      <c r="E23" s="11"/>
      <c r="F23" s="11"/>
      <c r="H23" s="10" t="s">
        <v>87</v>
      </c>
      <c r="J23" s="190" t="s">
        <v>167</v>
      </c>
      <c r="K23" s="191">
        <v>1141340</v>
      </c>
      <c r="L23" s="190" t="s">
        <v>224</v>
      </c>
      <c r="M23" s="13" t="str">
        <f t="shared" si="0"/>
        <v>1141340 - Class Supplies Curriculum</v>
      </c>
    </row>
    <row r="24" spans="1:13" x14ac:dyDescent="0.3">
      <c r="A24" s="13" t="s">
        <v>196</v>
      </c>
      <c r="B24" s="163">
        <v>90064.699855357525</v>
      </c>
      <c r="C24" s="163"/>
      <c r="D24" s="62" t="s">
        <v>12</v>
      </c>
      <c r="E24" s="11"/>
      <c r="F24" s="11"/>
      <c r="H24" s="10" t="s">
        <v>53</v>
      </c>
      <c r="J24" s="190" t="s">
        <v>168</v>
      </c>
      <c r="K24" s="191">
        <v>1144536</v>
      </c>
      <c r="L24" s="190" t="s">
        <v>138</v>
      </c>
      <c r="M24" s="13" t="str">
        <f t="shared" si="0"/>
        <v>1144536 - Education In-Service</v>
      </c>
    </row>
    <row r="25" spans="1:13" x14ac:dyDescent="0.3">
      <c r="A25" s="13" t="s">
        <v>197</v>
      </c>
      <c r="B25" s="163">
        <v>79150.967999999993</v>
      </c>
      <c r="C25" s="163"/>
      <c r="D25" s="62" t="s">
        <v>12</v>
      </c>
      <c r="E25" s="11"/>
      <c r="F25" s="11"/>
      <c r="H25" s="10" t="s">
        <v>54</v>
      </c>
      <c r="I25" s="167"/>
    </row>
    <row r="26" spans="1:13" x14ac:dyDescent="0.3">
      <c r="A26" s="13" t="s">
        <v>198</v>
      </c>
      <c r="B26" s="163">
        <v>81585.26999999999</v>
      </c>
      <c r="C26" s="163"/>
      <c r="D26" s="62" t="s">
        <v>12</v>
      </c>
      <c r="E26" s="11"/>
      <c r="F26" s="11"/>
      <c r="H26" s="10" t="s">
        <v>55</v>
      </c>
      <c r="I26" s="167"/>
    </row>
    <row r="27" spans="1:13" x14ac:dyDescent="0.3">
      <c r="A27" s="13" t="s">
        <v>199</v>
      </c>
      <c r="B27" s="163">
        <v>84274.651499999993</v>
      </c>
      <c r="C27" s="163"/>
      <c r="D27" s="62" t="s">
        <v>12</v>
      </c>
      <c r="E27" s="11"/>
      <c r="F27" s="11"/>
      <c r="H27" s="10" t="s">
        <v>56</v>
      </c>
      <c r="I27" s="167"/>
    </row>
    <row r="28" spans="1:13" x14ac:dyDescent="0.3">
      <c r="A28" s="13" t="s">
        <v>200</v>
      </c>
      <c r="B28" s="163">
        <v>87168.9</v>
      </c>
      <c r="C28" s="163"/>
      <c r="D28" s="62" t="s">
        <v>12</v>
      </c>
      <c r="E28" s="11"/>
      <c r="F28" s="11"/>
      <c r="H28" s="10" t="s">
        <v>57</v>
      </c>
      <c r="I28" s="167"/>
      <c r="J28" s="10" t="s">
        <v>234</v>
      </c>
    </row>
    <row r="29" spans="1:13" x14ac:dyDescent="0.3">
      <c r="A29" s="13" t="s">
        <v>201</v>
      </c>
      <c r="B29" s="163">
        <v>90063.14850000001</v>
      </c>
      <c r="C29" s="163"/>
      <c r="D29" s="62" t="s">
        <v>12</v>
      </c>
      <c r="E29" s="11"/>
      <c r="F29" s="11"/>
      <c r="H29" s="10" t="s">
        <v>58</v>
      </c>
      <c r="I29" s="167"/>
      <c r="J29" s="10" t="s">
        <v>235</v>
      </c>
    </row>
    <row r="30" spans="1:13" x14ac:dyDescent="0.3">
      <c r="A30" s="16" t="s">
        <v>202</v>
      </c>
      <c r="B30" s="163">
        <v>92505.484499999991</v>
      </c>
      <c r="C30" s="163"/>
      <c r="D30" s="62" t="s">
        <v>12</v>
      </c>
      <c r="E30" s="11"/>
      <c r="F30" s="11"/>
      <c r="H30" s="10" t="s">
        <v>77</v>
      </c>
      <c r="I30" s="167"/>
    </row>
    <row r="31" spans="1:13" x14ac:dyDescent="0.3">
      <c r="A31" s="16" t="s">
        <v>203</v>
      </c>
      <c r="B31" s="163">
        <v>95194.865999999995</v>
      </c>
      <c r="C31" s="163"/>
      <c r="D31" s="62" t="s">
        <v>12</v>
      </c>
      <c r="E31" s="11"/>
      <c r="F31" s="11"/>
      <c r="H31" s="10" t="s">
        <v>59</v>
      </c>
      <c r="I31" s="167"/>
    </row>
    <row r="32" spans="1:13" x14ac:dyDescent="0.3">
      <c r="A32" s="13" t="s">
        <v>204</v>
      </c>
      <c r="B32" s="163"/>
      <c r="C32" s="163">
        <v>69785.741651535005</v>
      </c>
      <c r="D32" s="62" t="s">
        <v>12</v>
      </c>
      <c r="E32" s="11"/>
      <c r="F32" s="11"/>
      <c r="H32" s="10" t="s">
        <v>60</v>
      </c>
      <c r="I32" s="167"/>
    </row>
    <row r="33" spans="1:9" x14ac:dyDescent="0.3">
      <c r="A33" s="13" t="s">
        <v>205</v>
      </c>
      <c r="B33" s="163"/>
      <c r="C33" s="163">
        <v>72665.888924947518</v>
      </c>
      <c r="D33" s="62" t="s">
        <v>12</v>
      </c>
      <c r="E33" s="11"/>
      <c r="H33" s="10" t="s">
        <v>61</v>
      </c>
      <c r="I33" s="167"/>
    </row>
    <row r="34" spans="1:9" x14ac:dyDescent="0.3">
      <c r="A34" s="13" t="s">
        <v>206</v>
      </c>
      <c r="B34" s="163"/>
      <c r="C34" s="163">
        <v>75577.785853342502</v>
      </c>
      <c r="D34" s="62" t="s">
        <v>12</v>
      </c>
      <c r="E34" s="11"/>
      <c r="H34" s="10" t="s">
        <v>62</v>
      </c>
      <c r="I34" s="167"/>
    </row>
    <row r="35" spans="1:9" x14ac:dyDescent="0.3">
      <c r="A35" s="13" t="s">
        <v>207</v>
      </c>
      <c r="B35" s="163"/>
      <c r="C35" s="163">
        <v>78471.540121747516</v>
      </c>
      <c r="D35" s="62" t="s">
        <v>12</v>
      </c>
      <c r="E35" s="11"/>
      <c r="H35" s="10" t="s">
        <v>63</v>
      </c>
      <c r="I35" s="167"/>
    </row>
    <row r="36" spans="1:9" x14ac:dyDescent="0.3">
      <c r="A36" s="13" t="s">
        <v>208</v>
      </c>
      <c r="B36" s="163"/>
      <c r="C36" s="163">
        <v>81383.437050142515</v>
      </c>
      <c r="D36" s="62" t="s">
        <v>12</v>
      </c>
      <c r="E36" s="11"/>
      <c r="H36" s="10" t="s">
        <v>64</v>
      </c>
      <c r="I36" s="167"/>
    </row>
    <row r="37" spans="1:9" x14ac:dyDescent="0.3">
      <c r="A37" s="13" t="s">
        <v>209</v>
      </c>
      <c r="B37" s="163"/>
      <c r="C37" s="163">
        <v>84272.655653549999</v>
      </c>
      <c r="D37" s="62" t="s">
        <v>12</v>
      </c>
      <c r="E37" s="11"/>
      <c r="H37" s="10" t="s">
        <v>65</v>
      </c>
      <c r="I37" s="167"/>
    </row>
    <row r="38" spans="1:9" x14ac:dyDescent="0.3">
      <c r="A38" s="13" t="s">
        <v>210</v>
      </c>
      <c r="B38" s="163"/>
      <c r="C38" s="163">
        <v>87170.945586952512</v>
      </c>
      <c r="D38" s="62" t="s">
        <v>12</v>
      </c>
      <c r="E38" s="11"/>
      <c r="H38" s="10" t="s">
        <v>66</v>
      </c>
      <c r="I38" s="167"/>
    </row>
    <row r="39" spans="1:9" x14ac:dyDescent="0.3">
      <c r="A39" s="13" t="s">
        <v>211</v>
      </c>
      <c r="B39" s="163"/>
      <c r="C39" s="163">
        <v>90064.699855357525</v>
      </c>
      <c r="D39" s="62" t="s">
        <v>12</v>
      </c>
      <c r="E39" s="11"/>
      <c r="H39" s="10" t="s">
        <v>67</v>
      </c>
      <c r="I39" s="167"/>
    </row>
    <row r="40" spans="1:9" x14ac:dyDescent="0.3">
      <c r="A40" s="13" t="s">
        <v>212</v>
      </c>
      <c r="B40" s="163"/>
      <c r="C40" s="163">
        <v>79150.967999999993</v>
      </c>
      <c r="D40" s="62" t="s">
        <v>12</v>
      </c>
      <c r="E40" s="11"/>
      <c r="H40" s="10" t="s">
        <v>83</v>
      </c>
      <c r="I40" s="167"/>
    </row>
    <row r="41" spans="1:9" x14ac:dyDescent="0.3">
      <c r="A41" s="13" t="s">
        <v>213</v>
      </c>
      <c r="B41" s="163"/>
      <c r="C41" s="163">
        <v>81585.26999999999</v>
      </c>
      <c r="D41" s="62" t="s">
        <v>12</v>
      </c>
      <c r="E41" s="11"/>
      <c r="H41" s="10" t="s">
        <v>68</v>
      </c>
      <c r="I41" s="167"/>
    </row>
    <row r="42" spans="1:9" x14ac:dyDescent="0.3">
      <c r="A42" s="13" t="s">
        <v>214</v>
      </c>
      <c r="B42" s="163"/>
      <c r="C42" s="163">
        <v>84274.651499999993</v>
      </c>
      <c r="D42" s="62" t="s">
        <v>12</v>
      </c>
      <c r="E42" s="11"/>
      <c r="H42" s="10" t="s">
        <v>78</v>
      </c>
      <c r="I42" s="167"/>
    </row>
    <row r="43" spans="1:9" x14ac:dyDescent="0.3">
      <c r="A43" s="13" t="s">
        <v>215</v>
      </c>
      <c r="B43" s="163"/>
      <c r="C43" s="163">
        <v>87168.9</v>
      </c>
      <c r="D43" s="62" t="s">
        <v>12</v>
      </c>
      <c r="E43" s="11"/>
      <c r="H43" s="10" t="s">
        <v>226</v>
      </c>
      <c r="I43" s="167"/>
    </row>
    <row r="44" spans="1:9" x14ac:dyDescent="0.3">
      <c r="A44" s="13" t="s">
        <v>216</v>
      </c>
      <c r="B44" s="163"/>
      <c r="C44" s="163">
        <v>90063.14850000001</v>
      </c>
      <c r="D44" s="62" t="s">
        <v>12</v>
      </c>
      <c r="E44" s="11"/>
      <c r="H44" s="10" t="s">
        <v>69</v>
      </c>
      <c r="I44" s="167"/>
    </row>
    <row r="45" spans="1:9" x14ac:dyDescent="0.3">
      <c r="A45" s="16" t="s">
        <v>217</v>
      </c>
      <c r="B45" s="163"/>
      <c r="C45" s="163">
        <v>92505.484499999991</v>
      </c>
      <c r="D45" s="62" t="s">
        <v>12</v>
      </c>
      <c r="E45" s="11"/>
      <c r="H45" s="10" t="s">
        <v>70</v>
      </c>
      <c r="I45" s="167"/>
    </row>
    <row r="46" spans="1:9" x14ac:dyDescent="0.3">
      <c r="A46" s="16" t="s">
        <v>218</v>
      </c>
      <c r="B46" s="163"/>
      <c r="C46" s="163">
        <v>95194.865999999995</v>
      </c>
      <c r="D46" s="62" t="s">
        <v>12</v>
      </c>
      <c r="E46" s="11"/>
      <c r="H46" s="10" t="s">
        <v>71</v>
      </c>
      <c r="I46" s="167"/>
    </row>
    <row r="47" spans="1:9" x14ac:dyDescent="0.3">
      <c r="H47" s="10" t="s">
        <v>79</v>
      </c>
      <c r="I47" s="167"/>
    </row>
    <row r="48" spans="1:9" x14ac:dyDescent="0.3">
      <c r="H48" s="10" t="s">
        <v>86</v>
      </c>
      <c r="I48" s="167"/>
    </row>
    <row r="49" spans="8:9" x14ac:dyDescent="0.3">
      <c r="H49" s="10" t="s">
        <v>72</v>
      </c>
      <c r="I49" s="167"/>
    </row>
    <row r="50" spans="8:9" x14ac:dyDescent="0.3">
      <c r="H50" s="10" t="s">
        <v>73</v>
      </c>
      <c r="I50" s="167"/>
    </row>
    <row r="51" spans="8:9" x14ac:dyDescent="0.3">
      <c r="H51" s="10" t="s">
        <v>80</v>
      </c>
      <c r="I51" s="167"/>
    </row>
    <row r="52" spans="8:9" x14ac:dyDescent="0.3">
      <c r="H52" s="10" t="s">
        <v>74</v>
      </c>
      <c r="I52" s="167"/>
    </row>
    <row r="53" spans="8:9" x14ac:dyDescent="0.3">
      <c r="H53" s="10" t="s">
        <v>84</v>
      </c>
    </row>
  </sheetData>
  <sheetProtection sheet="1" selectLockedCells="1"/>
  <pageMargins left="0.70866141732283472" right="0.70866141732283472" top="0.74803149606299213" bottom="0.74803149606299213" header="0.31496062992125984" footer="0.31496062992125984"/>
  <pageSetup paperSize="9" scale="68"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Setup &amp; Overview</vt:lpstr>
      <vt:lpstr>Staffing Projection</vt:lpstr>
      <vt:lpstr>Staffing Manual Entries</vt:lpstr>
      <vt:lpstr>Purchases &amp; Projected Spend</vt:lpstr>
      <vt:lpstr>EAC PEF SPEND</vt:lpstr>
      <vt:lpstr>Lookups</vt:lpstr>
      <vt:lpstr>Basic</vt:lpstr>
      <vt:lpstr>NonTeaching</vt:lpstr>
      <vt:lpstr>Lookups!Print_Area</vt:lpstr>
      <vt:lpstr>StaffType</vt:lpstr>
      <vt:lpstr>Teaching</vt:lpstr>
    </vt:vector>
  </TitlesOfParts>
  <Company>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 Bagen</dc:creator>
  <cp:lastModifiedBy>Pearson, Gordon</cp:lastModifiedBy>
  <cp:lastPrinted>2020-02-10T08:49:21Z</cp:lastPrinted>
  <dcterms:created xsi:type="dcterms:W3CDTF">2018-04-18T13:51:36Z</dcterms:created>
  <dcterms:modified xsi:type="dcterms:W3CDTF">2023-05-22T12:21:53Z</dcterms:modified>
</cp:coreProperties>
</file>